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omments3.xml" ContentType="application/vnd.openxmlformats-officedocument.spreadsheetml.comments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90" windowWidth="14175" windowHeight="8700" activeTab="1"/>
  </bookViews>
  <sheets>
    <sheet name="Instructions" sheetId="5" r:id="rId1"/>
    <sheet name="Fixed Costs" sheetId="1" r:id="rId2"/>
    <sheet name="Variable costs" sheetId="4" r:id="rId3"/>
    <sheet name="Sheet2" sheetId="2" r:id="rId4"/>
    <sheet name="Sheet3" sheetId="3" r:id="rId5"/>
  </sheets>
  <calcPr calcId="145621"/>
</workbook>
</file>

<file path=xl/calcChain.xml><?xml version="1.0" encoding="utf-8"?>
<calcChain xmlns="http://schemas.openxmlformats.org/spreadsheetml/2006/main">
  <c r="P5" i="1" l="1"/>
  <c r="P13" i="1" s="1"/>
  <c r="P14" i="1" s="1"/>
  <c r="E6" i="1"/>
  <c r="F6" i="1"/>
  <c r="E9" i="1"/>
  <c r="P6" i="1" s="1"/>
  <c r="P7" i="1" s="1"/>
  <c r="P8" i="1" s="1"/>
  <c r="E12" i="1"/>
  <c r="K12" i="1"/>
  <c r="E17" i="1"/>
  <c r="E18" i="1"/>
  <c r="L26" i="1"/>
  <c r="G29" i="1"/>
  <c r="E29" i="1" s="1"/>
  <c r="L33" i="1" s="1"/>
  <c r="E31" i="1"/>
  <c r="L38" i="1" s="1"/>
  <c r="G33" i="1"/>
  <c r="E35" i="1"/>
  <c r="P4" i="4"/>
  <c r="P12" i="4" s="1"/>
  <c r="P13" i="4" s="1"/>
  <c r="E5" i="4"/>
  <c r="F5" i="4"/>
  <c r="E8" i="4"/>
  <c r="P5" i="4" s="1"/>
  <c r="P6" i="4" s="1"/>
  <c r="P7" i="4" s="1"/>
  <c r="E11" i="4"/>
  <c r="K11" i="4"/>
  <c r="E16" i="4"/>
  <c r="E17" i="4"/>
  <c r="L25" i="4"/>
  <c r="G28" i="4"/>
  <c r="E28" i="4" s="1"/>
  <c r="L32" i="4" s="1"/>
  <c r="E30" i="4"/>
  <c r="G32" i="4"/>
  <c r="E34" i="4"/>
  <c r="L37" i="4"/>
  <c r="P8" i="4" l="1"/>
  <c r="P9" i="4" s="1"/>
  <c r="P9" i="1"/>
  <c r="P10" i="1" s="1"/>
  <c r="P10" i="4" l="1"/>
  <c r="K5" i="4" s="1"/>
  <c r="P14" i="4"/>
  <c r="P11" i="1"/>
  <c r="K6" i="1" s="1"/>
  <c r="P15" i="1"/>
  <c r="P19" i="1" l="1"/>
  <c r="K10" i="1" s="1"/>
  <c r="P16" i="1"/>
  <c r="L9" i="1" s="1"/>
  <c r="P17" i="1"/>
  <c r="K15" i="1" s="1"/>
  <c r="P18" i="1"/>
  <c r="P18" i="4"/>
  <c r="K9" i="4" s="1"/>
  <c r="P15" i="4"/>
  <c r="L8" i="4" s="1"/>
  <c r="P16" i="4"/>
  <c r="K14" i="4" s="1"/>
  <c r="P17" i="4"/>
  <c r="L27" i="4" l="1"/>
  <c r="L28" i="4"/>
  <c r="L31" i="4"/>
  <c r="L34" i="4"/>
  <c r="L28" i="1"/>
  <c r="L35" i="1"/>
  <c r="L29" i="1"/>
  <c r="L32" i="1"/>
  <c r="K8" i="4"/>
  <c r="K9" i="1"/>
  <c r="L40" i="1" l="1"/>
  <c r="L42" i="1" s="1"/>
  <c r="L39" i="4"/>
  <c r="L41" i="4" s="1"/>
</calcChain>
</file>

<file path=xl/comments1.xml><?xml version="1.0" encoding="utf-8"?>
<comments xmlns="http://schemas.openxmlformats.org/spreadsheetml/2006/main">
  <authors>
    <author>User</author>
  </authors>
  <commentList>
    <comment ref="L15" authorId="0">
      <text>
        <r>
          <rPr>
            <b/>
            <sz val="8"/>
            <color indexed="81"/>
            <rFont val="Tahoma"/>
          </rPr>
          <t>User: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L15" authorId="0">
      <text>
        <r>
          <rPr>
            <b/>
            <sz val="8"/>
            <color indexed="81"/>
            <rFont val="Tahoma"/>
          </rPr>
          <t>User: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User</author>
  </authors>
  <commentList>
    <comment ref="L14" authorId="0">
      <text>
        <r>
          <rPr>
            <b/>
            <sz val="8"/>
            <color indexed="81"/>
            <rFont val="Tahoma"/>
          </rPr>
          <t>User: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<sst xmlns="http://schemas.openxmlformats.org/spreadsheetml/2006/main" count="317" uniqueCount="96">
  <si>
    <t>Temperature</t>
  </si>
  <si>
    <t>Pressure</t>
  </si>
  <si>
    <t>Catalyst</t>
  </si>
  <si>
    <t>oC</t>
  </si>
  <si>
    <t>K</t>
  </si>
  <si>
    <t>Atm</t>
  </si>
  <si>
    <t xml:space="preserve"> </t>
  </si>
  <si>
    <t>None</t>
  </si>
  <si>
    <t>Iron</t>
  </si>
  <si>
    <t>Tungsten</t>
  </si>
  <si>
    <t>Platnium</t>
  </si>
  <si>
    <t>Choices</t>
  </si>
  <si>
    <t>Cost Settings</t>
  </si>
  <si>
    <t>Ea</t>
  </si>
  <si>
    <t>B</t>
  </si>
  <si>
    <t>R</t>
  </si>
  <si>
    <t>P1</t>
  </si>
  <si>
    <t>A</t>
  </si>
  <si>
    <t>Yield</t>
  </si>
  <si>
    <t>Percent</t>
  </si>
  <si>
    <t>Time to Equilibrate</t>
  </si>
  <si>
    <t>Haber's Process Simulation</t>
  </si>
  <si>
    <t>Market Price</t>
  </si>
  <si>
    <t>for Ammonia</t>
  </si>
  <si>
    <t>US</t>
  </si>
  <si>
    <t>Profit Data</t>
  </si>
  <si>
    <t>Output Monitor</t>
  </si>
  <si>
    <t>per ton</t>
  </si>
  <si>
    <t>Process Control Station</t>
  </si>
  <si>
    <t>C</t>
  </si>
  <si>
    <t>S</t>
  </si>
  <si>
    <t>s</t>
  </si>
  <si>
    <t>m</t>
  </si>
  <si>
    <t>h</t>
  </si>
  <si>
    <t>day</t>
  </si>
  <si>
    <t>yr</t>
  </si>
  <si>
    <t>Overhead</t>
  </si>
  <si>
    <t>Hydrogen</t>
  </si>
  <si>
    <t>Catalysts</t>
  </si>
  <si>
    <t>Labor</t>
  </si>
  <si>
    <t>Holding</t>
  </si>
  <si>
    <t>Net Profit</t>
  </si>
  <si>
    <t>Revenues</t>
  </si>
  <si>
    <t>Tons</t>
  </si>
  <si>
    <t>Operation Time</t>
  </si>
  <si>
    <t>Hours</t>
  </si>
  <si>
    <t>per day</t>
  </si>
  <si>
    <t>per hour</t>
  </si>
  <si>
    <t>Operation</t>
  </si>
  <si>
    <t>hr per day</t>
  </si>
  <si>
    <t>Total Output</t>
  </si>
  <si>
    <t>Demand</t>
  </si>
  <si>
    <t xml:space="preserve"> per day</t>
  </si>
  <si>
    <t>Total costs</t>
  </si>
  <si>
    <t>Labor and Overhead Costs</t>
  </si>
  <si>
    <t>Holding Costs</t>
  </si>
  <si>
    <t>Production Costs</t>
  </si>
  <si>
    <t>Ton per day</t>
  </si>
  <si>
    <t xml:space="preserve"> Tons</t>
  </si>
  <si>
    <t>Daily Sales</t>
  </si>
  <si>
    <t>Quantity</t>
  </si>
  <si>
    <t>Va</t>
  </si>
  <si>
    <t>--- Instructions</t>
  </si>
  <si>
    <t>(This page does not operate.  It only shows the location and the nature of inputs/outputs for the model.)</t>
  </si>
  <si>
    <t>The outputs given</t>
  </si>
  <si>
    <t>are for the settings</t>
  </si>
  <si>
    <t xml:space="preserve">You may vary the </t>
  </si>
  <si>
    <t>minutes</t>
  </si>
  <si>
    <t>that you have  selected</t>
  </si>
  <si>
    <t>temperatue and pressure</t>
  </si>
  <si>
    <t/>
  </si>
  <si>
    <t>You may vary the outputs</t>
  </si>
  <si>
    <t>within limits</t>
  </si>
  <si>
    <t>by varying the settings</t>
  </si>
  <si>
    <t>Use the slider to select a</t>
  </si>
  <si>
    <t>catalyst from the choices</t>
  </si>
  <si>
    <t>shown</t>
  </si>
  <si>
    <t>Profitability is often determined</t>
  </si>
  <si>
    <t xml:space="preserve">by the currrent market  price and </t>
  </si>
  <si>
    <t>the demand for the product</t>
  </si>
  <si>
    <t>Production costs represent all</t>
  </si>
  <si>
    <t xml:space="preserve">of the materials necessary </t>
  </si>
  <si>
    <t>to produce fertilizer</t>
  </si>
  <si>
    <t xml:space="preserve">Holding </t>
  </si>
  <si>
    <t>Costs</t>
  </si>
  <si>
    <t xml:space="preserve">Holding Costs are the costs </t>
  </si>
  <si>
    <t>associated with storing fertilizer</t>
  </si>
  <si>
    <t>produced at the plant that cannot</t>
  </si>
  <si>
    <t xml:space="preserve">be sold because the production </t>
  </si>
  <si>
    <t>These costs represent the costs for</t>
  </si>
  <si>
    <t>has exceeded the demand</t>
  </si>
  <si>
    <t>materials, labor, overheads ,and the</t>
  </si>
  <si>
    <t xml:space="preserve">operation of the plant.  Many costs are </t>
  </si>
  <si>
    <t>incurred whether or not the plant produces</t>
  </si>
  <si>
    <t>any fertilizer</t>
  </si>
  <si>
    <t>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</si>
</sst>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&quot;$&quot;#,##0.00_);[Red]\(&quot;$&quot;#,##0.00\)"/>
    <numFmt numFmtId="165" formatCode="0.0"/>
    <numFmt numFmtId="166" formatCode="&quot;$&quot;#,##0.00"/>
    <numFmt numFmtId="167" formatCode="&quot;$&quot;#,##0"/>
    <numFmt numFmtId="168" formatCode="#,##0.0"/>
  </numFmts>
  <fonts count="2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color indexed="43"/>
      <name val="Arial"/>
    </font>
    <font>
      <sz val="8"/>
      <name val="Arial"/>
    </font>
    <font>
      <sz val="10"/>
      <name val="Arial"/>
    </font>
    <font>
      <sz val="10"/>
      <color indexed="9"/>
      <name val="Arial"/>
    </font>
    <font>
      <sz val="10"/>
      <color indexed="9"/>
      <name val="Arial"/>
      <family val="2"/>
    </font>
    <font>
      <sz val="10"/>
      <color indexed="42"/>
      <name val="Arial"/>
    </font>
    <font>
      <sz val="10"/>
      <color indexed="17"/>
      <name val="Arial"/>
    </font>
    <font>
      <b/>
      <sz val="14"/>
      <color indexed="9"/>
      <name val="Arial"/>
    </font>
    <font>
      <b/>
      <sz val="14"/>
      <color indexed="9"/>
      <name val="Arial"/>
      <family val="2"/>
    </font>
    <font>
      <sz val="8"/>
      <color indexed="81"/>
      <name val="Tahoma"/>
    </font>
    <font>
      <b/>
      <sz val="8"/>
      <color indexed="81"/>
      <name val="Tahoma"/>
    </font>
    <font>
      <sz val="16"/>
      <name val="Arial"/>
    </font>
    <font>
      <sz val="10"/>
      <color indexed="41"/>
      <name val="Arial"/>
    </font>
    <font>
      <sz val="8"/>
      <color indexed="9"/>
      <name val="Arial"/>
    </font>
    <font>
      <sz val="10"/>
      <color indexed="44"/>
      <name val="Arial"/>
    </font>
    <font>
      <sz val="9"/>
      <name val="Arial"/>
    </font>
    <font>
      <sz val="8"/>
      <name val="Arial"/>
      <family val="2"/>
    </font>
    <font>
      <sz val="8"/>
      <color indexed="42"/>
      <name val="Arial"/>
      <family val="2"/>
    </font>
    <font>
      <b/>
      <sz val="8"/>
      <name val="Arial"/>
    </font>
    <font>
      <sz val="10"/>
      <color indexed="10"/>
      <name val="Arial"/>
    </font>
    <font>
      <sz val="8"/>
      <color indexed="10"/>
      <name val="Arial"/>
    </font>
    <font>
      <sz val="8"/>
      <color indexed="42"/>
      <name val="Arial"/>
    </font>
    <font>
      <sz val="10"/>
      <color indexed="4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1" fillId="3" borderId="0" xfId="0" applyFont="1" applyFill="1"/>
    <xf numFmtId="0" fontId="0" fillId="3" borderId="0" xfId="0" applyFill="1"/>
    <xf numFmtId="0" fontId="5" fillId="3" borderId="0" xfId="0" applyFont="1" applyFill="1"/>
    <xf numFmtId="0" fontId="0" fillId="4" borderId="0" xfId="0" applyFill="1"/>
    <xf numFmtId="0" fontId="0" fillId="5" borderId="0" xfId="0" applyFill="1"/>
    <xf numFmtId="0" fontId="0" fillId="0" borderId="0" xfId="0" applyFill="1"/>
    <xf numFmtId="0" fontId="0" fillId="6" borderId="0" xfId="0" applyFill="1"/>
    <xf numFmtId="0" fontId="6" fillId="2" borderId="0" xfId="0" applyFont="1" applyFill="1"/>
    <xf numFmtId="0" fontId="7" fillId="7" borderId="0" xfId="0" applyFont="1" applyFill="1"/>
    <xf numFmtId="0" fontId="0" fillId="8" borderId="0" xfId="0" applyFill="1"/>
    <xf numFmtId="0" fontId="1" fillId="8" borderId="0" xfId="0" applyFont="1" applyFill="1"/>
    <xf numFmtId="165" fontId="1" fillId="0" borderId="0" xfId="0" applyNumberFormat="1" applyFont="1" applyFill="1"/>
    <xf numFmtId="0" fontId="1" fillId="0" borderId="0" xfId="0" applyFont="1" applyFill="1"/>
    <xf numFmtId="0" fontId="9" fillId="7" borderId="0" xfId="0" applyFont="1" applyFill="1"/>
    <xf numFmtId="0" fontId="8" fillId="8" borderId="0" xfId="0" applyFont="1" applyFill="1"/>
    <xf numFmtId="0" fontId="1" fillId="5" borderId="0" xfId="0" applyFont="1" applyFill="1"/>
    <xf numFmtId="0" fontId="2" fillId="8" borderId="0" xfId="0" applyFont="1" applyFill="1"/>
    <xf numFmtId="0" fontId="10" fillId="3" borderId="0" xfId="0" applyFont="1" applyFill="1"/>
    <xf numFmtId="0" fontId="11" fillId="7" borderId="0" xfId="0" applyFont="1" applyFill="1"/>
    <xf numFmtId="166" fontId="0" fillId="2" borderId="0" xfId="0" applyNumberFormat="1" applyFill="1"/>
    <xf numFmtId="166" fontId="0" fillId="5" borderId="0" xfId="0" applyNumberFormat="1" applyFill="1"/>
    <xf numFmtId="0" fontId="11" fillId="4" borderId="0" xfId="0" applyFont="1" applyFill="1"/>
    <xf numFmtId="0" fontId="2" fillId="9" borderId="0" xfId="0" applyFont="1" applyFill="1"/>
    <xf numFmtId="0" fontId="14" fillId="0" borderId="0" xfId="0" applyFont="1"/>
    <xf numFmtId="2" fontId="1" fillId="5" borderId="0" xfId="0" applyNumberFormat="1" applyFont="1" applyFill="1"/>
    <xf numFmtId="166" fontId="0" fillId="0" borderId="0" xfId="0" applyNumberFormat="1" applyFill="1"/>
    <xf numFmtId="2" fontId="15" fillId="2" borderId="0" xfId="0" applyNumberFormat="1" applyFont="1" applyFill="1"/>
    <xf numFmtId="0" fontId="1" fillId="9" borderId="0" xfId="0" applyFont="1" applyFill="1"/>
    <xf numFmtId="166" fontId="1" fillId="5" borderId="0" xfId="0" applyNumberFormat="1" applyFont="1" applyFill="1"/>
    <xf numFmtId="0" fontId="0" fillId="0" borderId="0" xfId="0" applyFill="1" applyAlignment="1">
      <alignment horizontal="center"/>
    </xf>
    <xf numFmtId="167" fontId="0" fillId="0" borderId="0" xfId="0" applyNumberFormat="1" applyFill="1"/>
    <xf numFmtId="0" fontId="0" fillId="9" borderId="0" xfId="0" applyFill="1"/>
    <xf numFmtId="164" fontId="0" fillId="0" borderId="0" xfId="0" applyNumberFormat="1" applyFill="1"/>
    <xf numFmtId="168" fontId="1" fillId="5" borderId="0" xfId="0" applyNumberFormat="1" applyFont="1" applyFill="1"/>
    <xf numFmtId="0" fontId="6" fillId="0" borderId="0" xfId="0" applyFont="1"/>
    <xf numFmtId="0" fontId="6" fillId="5" borderId="0" xfId="0" applyFont="1" applyFill="1"/>
    <xf numFmtId="0" fontId="16" fillId="5" borderId="0" xfId="0" applyFont="1" applyFill="1" applyAlignment="1">
      <alignment horizontal="right"/>
    </xf>
    <xf numFmtId="0" fontId="16" fillId="5" borderId="0" xfId="0" applyFont="1" applyFill="1"/>
    <xf numFmtId="0" fontId="15" fillId="2" borderId="0" xfId="0" applyFont="1" applyFill="1"/>
    <xf numFmtId="0" fontId="2" fillId="10" borderId="0" xfId="0" applyFont="1" applyFill="1"/>
    <xf numFmtId="0" fontId="17" fillId="10" borderId="0" xfId="0" applyFont="1" applyFill="1"/>
    <xf numFmtId="0" fontId="0" fillId="10" borderId="0" xfId="0" applyFill="1"/>
    <xf numFmtId="0" fontId="14" fillId="5" borderId="0" xfId="0" applyFont="1" applyFill="1"/>
    <xf numFmtId="0" fontId="14" fillId="5" borderId="0" xfId="0" quotePrefix="1" applyFont="1" applyFill="1"/>
    <xf numFmtId="0" fontId="0" fillId="5" borderId="0" xfId="0" applyFill="1" applyAlignment="1">
      <alignment vertical="center"/>
    </xf>
    <xf numFmtId="0" fontId="18" fillId="5" borderId="0" xfId="0" applyFont="1" applyFill="1" applyAlignment="1">
      <alignment vertical="center"/>
    </xf>
    <xf numFmtId="0" fontId="14" fillId="5" borderId="0" xfId="0" quotePrefix="1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0" fillId="2" borderId="0" xfId="0" applyFill="1" applyProtection="1">
      <protection locked="0"/>
    </xf>
    <xf numFmtId="0" fontId="4" fillId="2" borderId="0" xfId="0" applyFont="1" applyFill="1" applyAlignment="1" applyProtection="1">
      <alignment horizontal="center"/>
      <protection locked="0"/>
    </xf>
    <xf numFmtId="0" fontId="4" fillId="2" borderId="0" xfId="0" applyFont="1" applyFill="1" applyProtection="1">
      <protection locked="0"/>
    </xf>
    <xf numFmtId="0" fontId="2" fillId="10" borderId="0" xfId="0" applyFont="1" applyFill="1" applyProtection="1">
      <protection locked="0"/>
    </xf>
    <xf numFmtId="0" fontId="0" fillId="6" borderId="0" xfId="0" applyFill="1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165" fontId="4" fillId="0" borderId="0" xfId="0" applyNumberFormat="1" applyFont="1" applyFill="1"/>
    <xf numFmtId="0" fontId="4" fillId="0" borderId="0" xfId="0" applyFont="1" applyFill="1"/>
    <xf numFmtId="0" fontId="4" fillId="8" borderId="0" xfId="0" applyFont="1" applyFill="1"/>
    <xf numFmtId="0" fontId="19" fillId="11" borderId="1" xfId="0" applyFont="1" applyFill="1" applyBorder="1"/>
    <xf numFmtId="0" fontId="20" fillId="11" borderId="2" xfId="0" applyFont="1" applyFill="1" applyBorder="1"/>
    <xf numFmtId="0" fontId="19" fillId="11" borderId="3" xfId="0" applyFont="1" applyFill="1" applyBorder="1"/>
    <xf numFmtId="0" fontId="6" fillId="2" borderId="0" xfId="0" applyFont="1" applyFill="1" applyProtection="1">
      <protection locked="0"/>
    </xf>
    <xf numFmtId="0" fontId="19" fillId="11" borderId="4" xfId="0" applyFont="1" applyFill="1" applyBorder="1"/>
    <xf numFmtId="0" fontId="19" fillId="11" borderId="0" xfId="0" applyFont="1" applyFill="1" applyBorder="1"/>
    <xf numFmtId="0" fontId="19" fillId="11" borderId="5" xfId="0" applyFont="1" applyFill="1" applyBorder="1"/>
    <xf numFmtId="0" fontId="4" fillId="11" borderId="1" xfId="0" applyFont="1" applyFill="1" applyBorder="1" applyProtection="1">
      <protection locked="0"/>
    </xf>
    <xf numFmtId="0" fontId="4" fillId="11" borderId="3" xfId="0" applyFont="1" applyFill="1" applyBorder="1" applyProtection="1">
      <protection locked="0"/>
    </xf>
    <xf numFmtId="2" fontId="4" fillId="5" borderId="0" xfId="0" applyNumberFormat="1" applyFont="1" applyFill="1"/>
    <xf numFmtId="0" fontId="4" fillId="5" borderId="0" xfId="0" applyFont="1" applyFill="1"/>
    <xf numFmtId="0" fontId="2" fillId="2" borderId="0" xfId="0" applyFont="1" applyFill="1" applyProtection="1">
      <protection locked="0"/>
    </xf>
    <xf numFmtId="0" fontId="4" fillId="11" borderId="4" xfId="0" applyFont="1" applyFill="1" applyBorder="1" applyProtection="1">
      <protection locked="0"/>
    </xf>
    <xf numFmtId="0" fontId="4" fillId="11" borderId="5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17" fillId="10" borderId="0" xfId="0" applyFont="1" applyFill="1" applyProtection="1">
      <protection locked="0"/>
    </xf>
    <xf numFmtId="0" fontId="0" fillId="10" borderId="0" xfId="0" applyFill="1" applyProtection="1">
      <protection locked="0"/>
    </xf>
    <xf numFmtId="0" fontId="4" fillId="11" borderId="6" xfId="0" applyFont="1" applyFill="1" applyBorder="1" applyProtection="1">
      <protection locked="0"/>
    </xf>
    <xf numFmtId="0" fontId="4" fillId="11" borderId="7" xfId="0" applyFont="1" applyFill="1" applyBorder="1" applyProtection="1">
      <protection locked="0"/>
    </xf>
    <xf numFmtId="0" fontId="19" fillId="11" borderId="6" xfId="0" applyFont="1" applyFill="1" applyBorder="1"/>
    <xf numFmtId="0" fontId="19" fillId="11" borderId="8" xfId="0" applyFont="1" applyFill="1" applyBorder="1"/>
    <xf numFmtId="0" fontId="19" fillId="11" borderId="7" xfId="0" applyFont="1" applyFill="1" applyBorder="1"/>
    <xf numFmtId="168" fontId="4" fillId="5" borderId="0" xfId="0" applyNumberFormat="1" applyFont="1" applyFill="1"/>
    <xf numFmtId="0" fontId="21" fillId="11" borderId="6" xfId="0" applyFont="1" applyFill="1" applyBorder="1" applyProtection="1">
      <protection locked="0"/>
    </xf>
    <xf numFmtId="0" fontId="21" fillId="11" borderId="7" xfId="0" applyFont="1" applyFill="1" applyBorder="1" applyProtection="1">
      <protection locked="0"/>
    </xf>
    <xf numFmtId="0" fontId="21" fillId="2" borderId="0" xfId="0" applyFont="1" applyFill="1" applyProtection="1">
      <protection locked="0"/>
    </xf>
    <xf numFmtId="0" fontId="4" fillId="2" borderId="0" xfId="0" applyFont="1" applyFill="1" applyAlignment="1">
      <alignment horizontal="center"/>
    </xf>
    <xf numFmtId="166" fontId="4" fillId="5" borderId="0" xfId="0" applyNumberFormat="1" applyFont="1" applyFill="1"/>
    <xf numFmtId="166" fontId="4" fillId="0" borderId="0" xfId="0" applyNumberFormat="1" applyFont="1" applyFill="1"/>
    <xf numFmtId="0" fontId="0" fillId="11" borderId="0" xfId="0" applyFill="1"/>
    <xf numFmtId="166" fontId="4" fillId="2" borderId="0" xfId="0" applyNumberFormat="1" applyFont="1" applyFill="1"/>
    <xf numFmtId="167" fontId="4" fillId="0" borderId="0" xfId="0" applyNumberFormat="1" applyFont="1" applyFill="1"/>
    <xf numFmtId="0" fontId="2" fillId="11" borderId="0" xfId="0" applyFont="1" applyFill="1"/>
    <xf numFmtId="0" fontId="1" fillId="11" borderId="0" xfId="0" applyFont="1" applyFill="1"/>
    <xf numFmtId="164" fontId="4" fillId="0" borderId="0" xfId="0" applyNumberFormat="1" applyFont="1" applyFill="1"/>
    <xf numFmtId="0" fontId="22" fillId="5" borderId="0" xfId="0" applyFont="1" applyFill="1"/>
    <xf numFmtId="0" fontId="23" fillId="5" borderId="0" xfId="0" applyFont="1" applyFill="1"/>
    <xf numFmtId="0" fontId="24" fillId="8" borderId="0" xfId="0" applyFont="1" applyFill="1" applyAlignment="1">
      <alignment horizontal="right"/>
    </xf>
    <xf numFmtId="0" fontId="24" fillId="8" borderId="0" xfId="0" applyFont="1" applyFill="1"/>
    <xf numFmtId="1" fontId="23" fillId="5" borderId="0" xfId="0" applyNumberFormat="1" applyFont="1" applyFill="1"/>
    <xf numFmtId="0" fontId="20" fillId="8" borderId="0" xfId="0" applyFont="1" applyFill="1"/>
    <xf numFmtId="0" fontId="25" fillId="8" borderId="0" xfId="0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EQUILIBRIUM TIME </a:t>
            </a:r>
          </a:p>
        </c:rich>
      </c:tx>
      <c:layout>
        <c:manualLayout>
          <c:xMode val="edge"/>
          <c:yMode val="edge"/>
          <c:x val="5.2125200767814468E-2"/>
          <c:y val="1.646348519534099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4630541871921183"/>
          <c:y val="0.18530380345167022"/>
          <c:w val="0.20689655172413793"/>
          <c:h val="0.702876495851162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0"/>
            <c:bubble3D val="0"/>
          </c:dPt>
          <c:val>
            <c:numRef>
              <c:f>'Fixed Costs'!$P$16</c:f>
              <c:numCache>
                <c:formatCode>General</c:formatCode>
                <c:ptCount val="1"/>
                <c:pt idx="0">
                  <c:v>1716125714.618587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01440"/>
        <c:axId val="72702976"/>
      </c:barChart>
      <c:catAx>
        <c:axId val="72701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029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72702976"/>
        <c:scaling>
          <c:orientation val="minMax"/>
          <c:max val="25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minutes</a:t>
                </a:r>
              </a:p>
            </c:rich>
          </c:tx>
          <c:layout>
            <c:manualLayout>
              <c:xMode val="edge"/>
              <c:yMode val="edge"/>
              <c:x val="3.7231950483801464E-2"/>
              <c:y val="0.4313400920731554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01440"/>
        <c:crosses val="autoZero"/>
        <c:crossBetween val="between"/>
      </c:valAx>
      <c:spPr>
        <a:solidFill>
          <a:srgbClr val="CC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CCFFCC"/>
    </a:solidFill>
    <a:ln w="9525">
      <a:noFill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Yield</a:t>
            </a:r>
          </a:p>
        </c:rich>
      </c:tx>
      <c:layout>
        <c:manualLayout>
          <c:xMode val="edge"/>
          <c:yMode val="edge"/>
          <c:x val="0.39001736321421365"/>
          <c:y val="3.987839357918097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666905383498588"/>
          <c:y val="0.27027077979982317"/>
          <c:w val="0.44000286460198307"/>
          <c:h val="0.6061787489796033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0"/>
            <c:bubble3D val="0"/>
          </c:dPt>
          <c:val>
            <c:numRef>
              <c:f>'Fixed Costs'!$K$6</c:f>
              <c:numCache>
                <c:formatCode>0.0</c:formatCode>
                <c:ptCount val="1"/>
                <c:pt idx="0">
                  <c:v>94.330015888973591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2739840"/>
        <c:axId val="63898368"/>
      </c:barChart>
      <c:catAx>
        <c:axId val="7273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89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898368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Percent</a:t>
                </a:r>
              </a:p>
            </c:rich>
          </c:tx>
          <c:layout>
            <c:manualLayout>
              <c:xMode val="edge"/>
              <c:yMode val="edge"/>
              <c:x val="5.3532000807591358E-2"/>
              <c:y val="0.4785386961764914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CCFFCC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2739840"/>
        <c:crosses val="autoZero"/>
        <c:crossBetween val="between"/>
      </c:valAx>
      <c:spPr>
        <a:solidFill>
          <a:srgbClr val="CCFFCC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CCFFCC"/>
    </a:solidFill>
    <a:ln w="9525">
      <a:noFill/>
    </a:ln>
  </c:spPr>
  <c:txPr>
    <a:bodyPr/>
    <a:lstStyle/>
    <a:p>
      <a:pPr>
        <a:defRPr sz="1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EQUILIBRIUM TIME </a:t>
            </a:r>
          </a:p>
        </c:rich>
      </c:tx>
      <c:layout>
        <c:manualLayout>
          <c:xMode val="edge"/>
          <c:yMode val="edge"/>
          <c:x val="0.15747168590227592"/>
          <c:y val="3.96919038966283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7916780260336344"/>
          <c:y val="0.21923076923076923"/>
          <c:w val="0.35000142415944074"/>
          <c:h val="0.6615384615384615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dPt>
            <c:idx val="0"/>
            <c:invertIfNegative val="0"/>
            <c:bubble3D val="0"/>
          </c:dPt>
          <c:val>
            <c:numRef>
              <c:f>'Variable costs'!$P$15</c:f>
              <c:numCache>
                <c:formatCode>0</c:formatCode>
                <c:ptCount val="1"/>
                <c:pt idx="0">
                  <c:v>4376.2378076839032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45600"/>
        <c:axId val="80747136"/>
      </c:barChart>
      <c:catAx>
        <c:axId val="807456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747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747136"/>
        <c:scaling>
          <c:orientation val="minMax"/>
          <c:max val="24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Minutes</a:t>
                </a:r>
              </a:p>
            </c:rich>
          </c:tx>
          <c:layout>
            <c:manualLayout>
              <c:xMode val="edge"/>
              <c:yMode val="edge"/>
              <c:x val="9.5852299284507253E-2"/>
              <c:y val="0.3215049464970725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745600"/>
        <c:crosses val="autoZero"/>
        <c:crossBetween val="between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CCFFCC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CA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YIELD </a:t>
            </a:r>
          </a:p>
        </c:rich>
      </c:tx>
      <c:layout>
        <c:manualLayout>
          <c:xMode val="edge"/>
          <c:yMode val="edge"/>
          <c:x val="0.35669366329208851"/>
          <c:y val="4.246805926118739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6419972631972369"/>
          <c:y val="0.16528925619834711"/>
          <c:w val="0.24074219197405464"/>
          <c:h val="0.7520661157024793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  <a:prstDash val="solid"/>
            </a:ln>
          </c:spPr>
          <c:invertIfNegative val="1"/>
          <c:val>
            <c:numRef>
              <c:f>'Variable costs'!$K$5</c:f>
              <c:numCache>
                <c:formatCode>0.0</c:formatCode>
                <c:ptCount val="1"/>
                <c:pt idx="0">
                  <c:v>74.084057351616423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w="12700">
                    <a:solidFill>
                      <a:srgbClr val="000000"/>
                    </a:solidFill>
                    <a:prstDash val="solid"/>
                  </a:ln>
                </c14:spPr>
              </c14:invertSolidFillFmt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0779904"/>
        <c:axId val="80785792"/>
      </c:barChart>
      <c:catAx>
        <c:axId val="80779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7857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0785792"/>
        <c:scaling>
          <c:orientation val="minMax"/>
          <c:max val="1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Percent</a:t>
                </a:r>
              </a:p>
            </c:rich>
          </c:tx>
          <c:layout>
            <c:manualLayout>
              <c:xMode val="edge"/>
              <c:yMode val="edge"/>
              <c:x val="7.8472440944881885E-2"/>
              <c:y val="0.4459157068176395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80779904"/>
        <c:crosses val="autoZero"/>
        <c:crossBetween val="between"/>
      </c:valAx>
      <c:spPr>
        <a:solidFill>
          <a:srgbClr val="CC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CCFFCC"/>
    </a:solidFill>
    <a:ln w="9525">
      <a:noFill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trlProps/ctrlProp1.xml><?xml version="1.0" encoding="utf-8"?>
<formControlPr xmlns="http://schemas.microsoft.com/office/spreadsheetml/2009/9/main" objectType="Scroll" dx="12" fmlaLink="C12" max="3" page="10"/>
</file>

<file path=xl/ctrlProps/ctrlProp10.xml><?xml version="1.0" encoding="utf-8"?>
<formControlPr xmlns="http://schemas.microsoft.com/office/spreadsheetml/2009/9/main" objectType="Scroll" dx="15" fmlaLink="D31" horiz="1" inc="100" max="30000" min="12000" noThreeD="1" page="10" val="21621"/>
</file>

<file path=xl/ctrlProps/ctrlProp11.xml><?xml version="1.0" encoding="utf-8"?>
<formControlPr xmlns="http://schemas.microsoft.com/office/spreadsheetml/2009/9/main" objectType="Scroll" dx="15" fmlaLink="E33" horiz="1" max="35" min="11" noThreeD="1" page="10" val="25"/>
</file>

<file path=xl/ctrlProps/ctrlProp12.xml><?xml version="1.0" encoding="utf-8"?>
<formControlPr xmlns="http://schemas.microsoft.com/office/spreadsheetml/2009/9/main" objectType="Scroll" dx="15" fmlaLink="D35" horiz="1" max="160" min="40" noThreeD="1" page="10" val="92"/>
</file>

<file path=xl/ctrlProps/ctrlProp13.xml><?xml version="1.0" encoding="utf-8"?>
<formControlPr xmlns="http://schemas.microsoft.com/office/spreadsheetml/2009/9/main" objectType="Scroll" dx="15" fmlaLink="E37" horiz="1" inc="2" max="24" min="8" noThreeD="1" page="10" val="24"/>
</file>

<file path=xl/ctrlProps/ctrlProp14.xml><?xml version="1.0" encoding="utf-8"?>
<formControlPr xmlns="http://schemas.microsoft.com/office/spreadsheetml/2009/9/main" objectType="Scroll" dx="12" fmlaLink="C12" max="3" page="10" val="2"/>
</file>

<file path=xl/ctrlProps/ctrlProp15.xml><?xml version="1.0" encoding="utf-8"?>
<formControlPr xmlns="http://schemas.microsoft.com/office/spreadsheetml/2009/9/main" objectType="Scroll" dx="15" fmlaLink="C6" horiz="1" max="1000" min="20" noThreeD="1" page="10" val="168"/>
</file>

<file path=xl/ctrlProps/ctrlProp16.xml><?xml version="1.0" encoding="utf-8"?>
<formControlPr xmlns="http://schemas.microsoft.com/office/spreadsheetml/2009/9/main" objectType="Scroll" dx="15" fmlaLink="C8" horiz="1" inc="2" max="1000" min="100" noThreeD="1" page="10" val="252"/>
</file>

<file path=xl/ctrlProps/ctrlProp17.xml><?xml version="1.0" encoding="utf-8"?>
<formControlPr xmlns="http://schemas.microsoft.com/office/spreadsheetml/2009/9/main" objectType="Scroll" dx="15" fmlaLink="L23" horiz="1" max="495" min="150" noThreeD="1" page="10" val="363"/>
</file>

<file path=xl/ctrlProps/ctrlProp18.xml><?xml version="1.0" encoding="utf-8"?>
<formControlPr xmlns="http://schemas.microsoft.com/office/spreadsheetml/2009/9/main" objectType="Scroll" dx="15" fmlaLink="E23" horiz="1" max="40" min="10" noThreeD="1" page="10" val="18"/>
</file>

<file path=xl/ctrlProps/ctrlProp19.xml><?xml version="1.0" encoding="utf-8"?>
<formControlPr xmlns="http://schemas.microsoft.com/office/spreadsheetml/2009/9/main" objectType="Scroll" dx="15" fmlaLink="K26" horiz="1" max="5000" min="25" noThreeD="1" page="10" val="3715"/>
</file>

<file path=xl/ctrlProps/ctrlProp2.xml><?xml version="1.0" encoding="utf-8"?>
<formControlPr xmlns="http://schemas.microsoft.com/office/spreadsheetml/2009/9/main" objectType="Scroll" dx="15" fmlaLink="C6" horiz="1" max="1000" min="20" noThreeD="1" page="10" val="176"/>
</file>

<file path=xl/ctrlProps/ctrlProp20.xml><?xml version="1.0" encoding="utf-8"?>
<formControlPr xmlns="http://schemas.microsoft.com/office/spreadsheetml/2009/9/main" objectType="Scroll" dx="15" fmlaLink="E25" horiz="1" max="250" min="100" noThreeD="1" page="10" val="162"/>
</file>

<file path=xl/ctrlProps/ctrlProp21.xml><?xml version="1.0" encoding="utf-8"?>
<formControlPr xmlns="http://schemas.microsoft.com/office/spreadsheetml/2009/9/main" objectType="Scroll" dx="15" fmlaLink="E27" horiz="1" max="35" min="8" noThreeD="1" page="10" val="19"/>
</file>

<file path=xl/ctrlProps/ctrlProp22.xml><?xml version="1.0" encoding="utf-8"?>
<formControlPr xmlns="http://schemas.microsoft.com/office/spreadsheetml/2009/9/main" objectType="Scroll" dx="15" fmlaLink="D29" horiz="1" max="100" min="1" noThreeD="1" page="10" val="30"/>
</file>

<file path=xl/ctrlProps/ctrlProp23.xml><?xml version="1.0" encoding="utf-8"?>
<formControlPr xmlns="http://schemas.microsoft.com/office/spreadsheetml/2009/9/main" objectType="Scroll" dx="15" fmlaLink="D31" horiz="1" inc="100" max="30000" min="12000" noThreeD="1" page="10" val="16675"/>
</file>

<file path=xl/ctrlProps/ctrlProp24.xml><?xml version="1.0" encoding="utf-8"?>
<formControlPr xmlns="http://schemas.microsoft.com/office/spreadsheetml/2009/9/main" objectType="Scroll" dx="15" fmlaLink="E33" horiz="1" max="35" min="11" noThreeD="1" page="10" val="25"/>
</file>

<file path=xl/ctrlProps/ctrlProp25.xml><?xml version="1.0" encoding="utf-8"?>
<formControlPr xmlns="http://schemas.microsoft.com/office/spreadsheetml/2009/9/main" objectType="Scroll" dx="15" fmlaLink="D35" horiz="1" max="160" min="10" noThreeD="1" page="10" val="43"/>
</file>

<file path=xl/ctrlProps/ctrlProp26.xml><?xml version="1.0" encoding="utf-8"?>
<formControlPr xmlns="http://schemas.microsoft.com/office/spreadsheetml/2009/9/main" objectType="Scroll" dx="15" fmlaLink="E37" horiz="1" max="24" min="8" noThreeD="1" page="10" val="24"/>
</file>

<file path=xl/ctrlProps/ctrlProp27.xml><?xml version="1.0" encoding="utf-8"?>
<formControlPr xmlns="http://schemas.microsoft.com/office/spreadsheetml/2009/9/main" objectType="Scroll" dx="12" fmlaLink="C11" max="3" page="10" val="2"/>
</file>

<file path=xl/ctrlProps/ctrlProp28.xml><?xml version="1.0" encoding="utf-8"?>
<formControlPr xmlns="http://schemas.microsoft.com/office/spreadsheetml/2009/9/main" objectType="Scroll" dx="15" fmlaLink="C5" horiz="1" max="1000" min="20" noThreeD="1" page="10" val="325"/>
</file>

<file path=xl/ctrlProps/ctrlProp29.xml><?xml version="1.0" encoding="utf-8"?>
<formControlPr xmlns="http://schemas.microsoft.com/office/spreadsheetml/2009/9/main" objectType="Scroll" dx="15" fmlaLink="C7" horiz="1" inc="2" max="1000" min="100" noThreeD="1" page="10" val="399"/>
</file>

<file path=xl/ctrlProps/ctrlProp3.xml><?xml version="1.0" encoding="utf-8"?>
<formControlPr xmlns="http://schemas.microsoft.com/office/spreadsheetml/2009/9/main" objectType="Scroll" dx="15" fmlaLink="C8" horiz="1" inc="2" max="1000" min="100" noThreeD="1" page="10" val="730"/>
</file>

<file path=xl/ctrlProps/ctrlProp30.xml><?xml version="1.0" encoding="utf-8"?>
<formControlPr xmlns="http://schemas.microsoft.com/office/spreadsheetml/2009/9/main" objectType="Scroll" dx="15" fmlaLink="L22" horiz="1" max="495" min="150" noThreeD="1" page="10" val="317"/>
</file>

<file path=xl/ctrlProps/ctrlProp31.xml><?xml version="1.0" encoding="utf-8"?>
<formControlPr xmlns="http://schemas.microsoft.com/office/spreadsheetml/2009/9/main" objectType="Scroll" dx="15" fmlaLink="E22" horiz="1" max="40" min="10" noThreeD="1" page="10" val="18"/>
</file>

<file path=xl/ctrlProps/ctrlProp32.xml><?xml version="1.0" encoding="utf-8"?>
<formControlPr xmlns="http://schemas.microsoft.com/office/spreadsheetml/2009/9/main" objectType="Scroll" dx="15" fmlaLink="K25" horiz="1" max="3000" min="25" noThreeD="1" page="10" val="2867"/>
</file>

<file path=xl/ctrlProps/ctrlProp33.xml><?xml version="1.0" encoding="utf-8"?>
<formControlPr xmlns="http://schemas.microsoft.com/office/spreadsheetml/2009/9/main" objectType="Scroll" dx="15" fmlaLink="E24" horiz="1" max="250" min="100" noThreeD="1" page="10" val="136"/>
</file>

<file path=xl/ctrlProps/ctrlProp34.xml><?xml version="1.0" encoding="utf-8"?>
<formControlPr xmlns="http://schemas.microsoft.com/office/spreadsheetml/2009/9/main" objectType="Scroll" dx="15" fmlaLink="E26" horiz="1" max="35" min="8" noThreeD="1" page="10" val="20"/>
</file>

<file path=xl/ctrlProps/ctrlProp35.xml><?xml version="1.0" encoding="utf-8"?>
<formControlPr xmlns="http://schemas.microsoft.com/office/spreadsheetml/2009/9/main" objectType="Scroll" dx="15" fmlaLink="D28" horiz="1" max="100" min="1" noThreeD="1" page="10" val="12"/>
</file>

<file path=xl/ctrlProps/ctrlProp36.xml><?xml version="1.0" encoding="utf-8"?>
<formControlPr xmlns="http://schemas.microsoft.com/office/spreadsheetml/2009/9/main" objectType="Scroll" dx="15" fmlaLink="D30" horiz="1" inc="100" max="30000" min="12000" noThreeD="1" page="10" val="21121"/>
</file>

<file path=xl/ctrlProps/ctrlProp37.xml><?xml version="1.0" encoding="utf-8"?>
<formControlPr xmlns="http://schemas.microsoft.com/office/spreadsheetml/2009/9/main" objectType="Scroll" dx="15" fmlaLink="E32" horiz="1" max="35" min="11" noThreeD="1" page="10" val="25"/>
</file>

<file path=xl/ctrlProps/ctrlProp38.xml><?xml version="1.0" encoding="utf-8"?>
<formControlPr xmlns="http://schemas.microsoft.com/office/spreadsheetml/2009/9/main" objectType="Scroll" dx="15" fmlaLink="D34" horiz="1" max="160" min="40" noThreeD="1" page="10" val="92"/>
</file>

<file path=xl/ctrlProps/ctrlProp39.xml><?xml version="1.0" encoding="utf-8"?>
<formControlPr xmlns="http://schemas.microsoft.com/office/spreadsheetml/2009/9/main" objectType="Scroll" dx="15" fmlaLink="E36" horiz="1" inc="2" max="24" min="8" noThreeD="1" page="10" val="24"/>
</file>

<file path=xl/ctrlProps/ctrlProp4.xml><?xml version="1.0" encoding="utf-8"?>
<formControlPr xmlns="http://schemas.microsoft.com/office/spreadsheetml/2009/9/main" objectType="Scroll" dx="15" fmlaLink="L23" horiz="1" max="495" min="150" noThreeD="1" page="10" val="267"/>
</file>

<file path=xl/ctrlProps/ctrlProp5.xml><?xml version="1.0" encoding="utf-8"?>
<formControlPr xmlns="http://schemas.microsoft.com/office/spreadsheetml/2009/9/main" objectType="Scroll" dx="15" fmlaLink="E23" horiz="1" max="40" min="10" noThreeD="1" page="10" val="23"/>
</file>

<file path=xl/ctrlProps/ctrlProp6.xml><?xml version="1.0" encoding="utf-8"?>
<formControlPr xmlns="http://schemas.microsoft.com/office/spreadsheetml/2009/9/main" objectType="Scroll" dx="15" fmlaLink="K26" horiz="1" max="3000" min="25" noThreeD="1" page="10" val="1415"/>
</file>

<file path=xl/ctrlProps/ctrlProp7.xml><?xml version="1.0" encoding="utf-8"?>
<formControlPr xmlns="http://schemas.microsoft.com/office/spreadsheetml/2009/9/main" objectType="Scroll" dx="15" fmlaLink="E25" horiz="1" max="250" min="100" noThreeD="1" page="10" val="162"/>
</file>

<file path=xl/ctrlProps/ctrlProp8.xml><?xml version="1.0" encoding="utf-8"?>
<formControlPr xmlns="http://schemas.microsoft.com/office/spreadsheetml/2009/9/main" objectType="Scroll" dx="15" fmlaLink="E27" horiz="1" max="35" min="8" noThreeD="1" page="10" val="20"/>
</file>

<file path=xl/ctrlProps/ctrlProp9.xml><?xml version="1.0" encoding="utf-8"?>
<formControlPr xmlns="http://schemas.microsoft.com/office/spreadsheetml/2009/9/main" objectType="Scroll" dx="15" fmlaLink="D29" horiz="1" max="100" min="1" noThreeD="1" page="10" val="12"/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12</xdr:row>
          <xdr:rowOff>9525</xdr:rowOff>
        </xdr:from>
        <xdr:to>
          <xdr:col>2</xdr:col>
          <xdr:colOff>276225</xdr:colOff>
          <xdr:row>18</xdr:row>
          <xdr:rowOff>9525</xdr:rowOff>
        </xdr:to>
        <xdr:sp macro="" textlink="">
          <xdr:nvSpPr>
            <xdr:cNvPr id="3073" name="Scroll Bar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9525</xdr:rowOff>
        </xdr:from>
        <xdr:to>
          <xdr:col>4</xdr:col>
          <xdr:colOff>28575</xdr:colOff>
          <xdr:row>6</xdr:row>
          <xdr:rowOff>9525</xdr:rowOff>
        </xdr:to>
        <xdr:sp macro="" textlink="">
          <xdr:nvSpPr>
            <xdr:cNvPr id="3074" name="Scroll Bar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0</xdr:rowOff>
        </xdr:from>
        <xdr:to>
          <xdr:col>4</xdr:col>
          <xdr:colOff>47625</xdr:colOff>
          <xdr:row>9</xdr:row>
          <xdr:rowOff>0</xdr:rowOff>
        </xdr:to>
        <xdr:sp macro="" textlink="">
          <xdr:nvSpPr>
            <xdr:cNvPr id="3075" name="Scroll Bar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0</xdr:rowOff>
        </xdr:from>
        <xdr:to>
          <xdr:col>11</xdr:col>
          <xdr:colOff>142875</xdr:colOff>
          <xdr:row>23</xdr:row>
          <xdr:rowOff>19050</xdr:rowOff>
        </xdr:to>
        <xdr:sp macro="" textlink="">
          <xdr:nvSpPr>
            <xdr:cNvPr id="3077" name="Scroll Bar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876300</xdr:colOff>
          <xdr:row>22</xdr:row>
          <xdr:rowOff>0</xdr:rowOff>
        </xdr:from>
        <xdr:to>
          <xdr:col>4</xdr:col>
          <xdr:colOff>19050</xdr:colOff>
          <xdr:row>23</xdr:row>
          <xdr:rowOff>0</xdr:rowOff>
        </xdr:to>
        <xdr:sp macro="" textlink="">
          <xdr:nvSpPr>
            <xdr:cNvPr id="3078" name="Scroll Bar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857250</xdr:colOff>
          <xdr:row>24</xdr:row>
          <xdr:rowOff>152400</xdr:rowOff>
        </xdr:from>
        <xdr:to>
          <xdr:col>11</xdr:col>
          <xdr:colOff>161925</xdr:colOff>
          <xdr:row>25</xdr:row>
          <xdr:rowOff>152400</xdr:rowOff>
        </xdr:to>
        <xdr:sp macro="" textlink="">
          <xdr:nvSpPr>
            <xdr:cNvPr id="3079" name="Scroll Bar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4</xdr:col>
          <xdr:colOff>28575</xdr:colOff>
          <xdr:row>25</xdr:row>
          <xdr:rowOff>0</xdr:rowOff>
        </xdr:to>
        <xdr:sp macro="" textlink="">
          <xdr:nvSpPr>
            <xdr:cNvPr id="3080" name="Scroll Bar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4</xdr:col>
          <xdr:colOff>28575</xdr:colOff>
          <xdr:row>27</xdr:row>
          <xdr:rowOff>0</xdr:rowOff>
        </xdr:to>
        <xdr:sp macro="" textlink="">
          <xdr:nvSpPr>
            <xdr:cNvPr id="3081" name="Scroll Bar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4</xdr:col>
          <xdr:colOff>28575</xdr:colOff>
          <xdr:row>29</xdr:row>
          <xdr:rowOff>0</xdr:rowOff>
        </xdr:to>
        <xdr:sp macro="" textlink="">
          <xdr:nvSpPr>
            <xdr:cNvPr id="3082" name="Scroll Bar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4</xdr:col>
          <xdr:colOff>28575</xdr:colOff>
          <xdr:row>31</xdr:row>
          <xdr:rowOff>0</xdr:rowOff>
        </xdr:to>
        <xdr:sp macro="" textlink="">
          <xdr:nvSpPr>
            <xdr:cNvPr id="3083" name="Scroll Bar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4</xdr:col>
          <xdr:colOff>28575</xdr:colOff>
          <xdr:row>33</xdr:row>
          <xdr:rowOff>0</xdr:rowOff>
        </xdr:to>
        <xdr:sp macro="" textlink="">
          <xdr:nvSpPr>
            <xdr:cNvPr id="3084" name="Scroll Bar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876300</xdr:colOff>
          <xdr:row>34</xdr:row>
          <xdr:rowOff>0</xdr:rowOff>
        </xdr:from>
        <xdr:to>
          <xdr:col>4</xdr:col>
          <xdr:colOff>19050</xdr:colOff>
          <xdr:row>35</xdr:row>
          <xdr:rowOff>0</xdr:rowOff>
        </xdr:to>
        <xdr:sp macro="" textlink="">
          <xdr:nvSpPr>
            <xdr:cNvPr id="3085" name="Scroll Bar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847725</xdr:colOff>
          <xdr:row>36</xdr:row>
          <xdr:rowOff>19050</xdr:rowOff>
        </xdr:from>
        <xdr:to>
          <xdr:col>3</xdr:col>
          <xdr:colOff>533400</xdr:colOff>
          <xdr:row>37</xdr:row>
          <xdr:rowOff>19050</xdr:rowOff>
        </xdr:to>
        <xdr:sp macro="" textlink="">
          <xdr:nvSpPr>
            <xdr:cNvPr id="3086" name="Scroll Bar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18</xdr:row>
      <xdr:rowOff>142875</xdr:rowOff>
    </xdr:from>
    <xdr:to>
      <xdr:col>16</xdr:col>
      <xdr:colOff>266700</xdr:colOff>
      <xdr:row>36</xdr:row>
      <xdr:rowOff>142875</xdr:rowOff>
    </xdr:to>
    <xdr:graphicFrame macro="">
      <xdr:nvGraphicFramePr>
        <xdr:cNvPr id="1048" name="Chart 2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0</xdr:colOff>
      <xdr:row>3</xdr:row>
      <xdr:rowOff>142875</xdr:rowOff>
    </xdr:from>
    <xdr:to>
      <xdr:col>15</xdr:col>
      <xdr:colOff>1009650</xdr:colOff>
      <xdr:row>19</xdr:row>
      <xdr:rowOff>19050</xdr:rowOff>
    </xdr:to>
    <xdr:graphicFrame macro="">
      <xdr:nvGraphicFramePr>
        <xdr:cNvPr id="1049" name="Chart 2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12</xdr:row>
          <xdr:rowOff>9525</xdr:rowOff>
        </xdr:from>
        <xdr:to>
          <xdr:col>2</xdr:col>
          <xdr:colOff>276225</xdr:colOff>
          <xdr:row>18</xdr:row>
          <xdr:rowOff>9525</xdr:rowOff>
        </xdr:to>
        <xdr:sp macro="" textlink="">
          <xdr:nvSpPr>
            <xdr:cNvPr id="1028" name="Scroll Bar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5</xdr:row>
          <xdr:rowOff>9525</xdr:rowOff>
        </xdr:from>
        <xdr:to>
          <xdr:col>4</xdr:col>
          <xdr:colOff>0</xdr:colOff>
          <xdr:row>6</xdr:row>
          <xdr:rowOff>9525</xdr:rowOff>
        </xdr:to>
        <xdr:sp macro="" textlink="">
          <xdr:nvSpPr>
            <xdr:cNvPr id="1025" name="Scroll Bar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8</xdr:row>
          <xdr:rowOff>0</xdr:rowOff>
        </xdr:from>
        <xdr:to>
          <xdr:col>4</xdr:col>
          <xdr:colOff>19050</xdr:colOff>
          <xdr:row>9</xdr:row>
          <xdr:rowOff>0</xdr:rowOff>
        </xdr:to>
        <xdr:sp macro="" textlink="">
          <xdr:nvSpPr>
            <xdr:cNvPr id="1026" name="Scroll Bar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22</xdr:row>
          <xdr:rowOff>0</xdr:rowOff>
        </xdr:from>
        <xdr:to>
          <xdr:col>10</xdr:col>
          <xdr:colOff>809625</xdr:colOff>
          <xdr:row>23</xdr:row>
          <xdr:rowOff>19050</xdr:rowOff>
        </xdr:to>
        <xdr:sp macro="" textlink="">
          <xdr:nvSpPr>
            <xdr:cNvPr id="1032" name="Scroll Bar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876300</xdr:colOff>
          <xdr:row>22</xdr:row>
          <xdr:rowOff>0</xdr:rowOff>
        </xdr:from>
        <xdr:to>
          <xdr:col>3</xdr:col>
          <xdr:colOff>838200</xdr:colOff>
          <xdr:row>23</xdr:row>
          <xdr:rowOff>0</xdr:rowOff>
        </xdr:to>
        <xdr:sp macro="" textlink="">
          <xdr:nvSpPr>
            <xdr:cNvPr id="1033" name="Scroll Bar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857250</xdr:colOff>
          <xdr:row>24</xdr:row>
          <xdr:rowOff>152400</xdr:rowOff>
        </xdr:from>
        <xdr:to>
          <xdr:col>10</xdr:col>
          <xdr:colOff>809625</xdr:colOff>
          <xdr:row>25</xdr:row>
          <xdr:rowOff>152400</xdr:rowOff>
        </xdr:to>
        <xdr:sp macro="" textlink="">
          <xdr:nvSpPr>
            <xdr:cNvPr id="1034" name="Scroll Bar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24</xdr:row>
          <xdr:rowOff>0</xdr:rowOff>
        </xdr:from>
        <xdr:to>
          <xdr:col>4</xdr:col>
          <xdr:colOff>0</xdr:colOff>
          <xdr:row>25</xdr:row>
          <xdr:rowOff>0</xdr:rowOff>
        </xdr:to>
        <xdr:sp macro="" textlink="">
          <xdr:nvSpPr>
            <xdr:cNvPr id="1036" name="Scroll Bar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0</xdr:rowOff>
        </xdr:from>
        <xdr:to>
          <xdr:col>4</xdr:col>
          <xdr:colOff>0</xdr:colOff>
          <xdr:row>27</xdr:row>
          <xdr:rowOff>0</xdr:rowOff>
        </xdr:to>
        <xdr:sp macro="" textlink="">
          <xdr:nvSpPr>
            <xdr:cNvPr id="1037" name="Scroll Bar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0</xdr:rowOff>
        </xdr:from>
        <xdr:to>
          <xdr:col>4</xdr:col>
          <xdr:colOff>0</xdr:colOff>
          <xdr:row>29</xdr:row>
          <xdr:rowOff>0</xdr:rowOff>
        </xdr:to>
        <xdr:sp macro="" textlink="">
          <xdr:nvSpPr>
            <xdr:cNvPr id="1038" name="Scroll Bar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30</xdr:row>
          <xdr:rowOff>0</xdr:rowOff>
        </xdr:from>
        <xdr:to>
          <xdr:col>4</xdr:col>
          <xdr:colOff>0</xdr:colOff>
          <xdr:row>31</xdr:row>
          <xdr:rowOff>0</xdr:rowOff>
        </xdr:to>
        <xdr:sp macro="" textlink="">
          <xdr:nvSpPr>
            <xdr:cNvPr id="1039" name="Scroll Bar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32</xdr:row>
          <xdr:rowOff>0</xdr:rowOff>
        </xdr:from>
        <xdr:to>
          <xdr:col>4</xdr:col>
          <xdr:colOff>0</xdr:colOff>
          <xdr:row>33</xdr:row>
          <xdr:rowOff>0</xdr:rowOff>
        </xdr:to>
        <xdr:sp macro="" textlink="">
          <xdr:nvSpPr>
            <xdr:cNvPr id="1040" name="Scroll Bar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876300</xdr:colOff>
          <xdr:row>34</xdr:row>
          <xdr:rowOff>0</xdr:rowOff>
        </xdr:from>
        <xdr:to>
          <xdr:col>3</xdr:col>
          <xdr:colOff>838200</xdr:colOff>
          <xdr:row>35</xdr:row>
          <xdr:rowOff>0</xdr:rowOff>
        </xdr:to>
        <xdr:sp macro="" textlink="">
          <xdr:nvSpPr>
            <xdr:cNvPr id="1041" name="Scroll Bar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847725</xdr:colOff>
          <xdr:row>36</xdr:row>
          <xdr:rowOff>19050</xdr:rowOff>
        </xdr:from>
        <xdr:to>
          <xdr:col>3</xdr:col>
          <xdr:colOff>809625</xdr:colOff>
          <xdr:row>37</xdr:row>
          <xdr:rowOff>19050</xdr:rowOff>
        </xdr:to>
        <xdr:sp macro="" textlink="">
          <xdr:nvSpPr>
            <xdr:cNvPr id="1042" name="Scroll Bar 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266700</xdr:colOff>
      <xdr:row>14</xdr:row>
      <xdr:rowOff>142875</xdr:rowOff>
    </xdr:from>
    <xdr:to>
      <xdr:col>16</xdr:col>
      <xdr:colOff>152400</xdr:colOff>
      <xdr:row>29</xdr:row>
      <xdr:rowOff>123825</xdr:rowOff>
    </xdr:to>
    <xdr:graphicFrame macro="">
      <xdr:nvGraphicFramePr>
        <xdr:cNvPr id="2067" name="Chart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276225</xdr:colOff>
      <xdr:row>1</xdr:row>
      <xdr:rowOff>19050</xdr:rowOff>
    </xdr:from>
    <xdr:to>
      <xdr:col>15</xdr:col>
      <xdr:colOff>1104900</xdr:colOff>
      <xdr:row>14</xdr:row>
      <xdr:rowOff>152400</xdr:rowOff>
    </xdr:to>
    <xdr:graphicFrame macro="">
      <xdr:nvGraphicFramePr>
        <xdr:cNvPr id="2068" name="Chart 1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95250</xdr:colOff>
          <xdr:row>11</xdr:row>
          <xdr:rowOff>9525</xdr:rowOff>
        </xdr:from>
        <xdr:to>
          <xdr:col>2</xdr:col>
          <xdr:colOff>276225</xdr:colOff>
          <xdr:row>17</xdr:row>
          <xdr:rowOff>9525</xdr:rowOff>
        </xdr:to>
        <xdr:sp macro="" textlink="">
          <xdr:nvSpPr>
            <xdr:cNvPr id="2049" name="Scroll Bar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</xdr:row>
          <xdr:rowOff>9525</xdr:rowOff>
        </xdr:from>
        <xdr:to>
          <xdr:col>4</xdr:col>
          <xdr:colOff>0</xdr:colOff>
          <xdr:row>5</xdr:row>
          <xdr:rowOff>9525</xdr:rowOff>
        </xdr:to>
        <xdr:sp macro="" textlink="">
          <xdr:nvSpPr>
            <xdr:cNvPr id="2050" name="Scroll Bar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7</xdr:row>
          <xdr:rowOff>0</xdr:rowOff>
        </xdr:from>
        <xdr:to>
          <xdr:col>4</xdr:col>
          <xdr:colOff>19050</xdr:colOff>
          <xdr:row>8</xdr:row>
          <xdr:rowOff>0</xdr:rowOff>
        </xdr:to>
        <xdr:sp macro="" textlink="">
          <xdr:nvSpPr>
            <xdr:cNvPr id="2051" name="Scroll Bar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21</xdr:row>
          <xdr:rowOff>0</xdr:rowOff>
        </xdr:from>
        <xdr:to>
          <xdr:col>10</xdr:col>
          <xdr:colOff>809625</xdr:colOff>
          <xdr:row>22</xdr:row>
          <xdr:rowOff>19050</xdr:rowOff>
        </xdr:to>
        <xdr:sp macro="" textlink="">
          <xdr:nvSpPr>
            <xdr:cNvPr id="2053" name="Scroll Bar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876300</xdr:colOff>
          <xdr:row>21</xdr:row>
          <xdr:rowOff>0</xdr:rowOff>
        </xdr:from>
        <xdr:to>
          <xdr:col>3</xdr:col>
          <xdr:colOff>838200</xdr:colOff>
          <xdr:row>22</xdr:row>
          <xdr:rowOff>0</xdr:rowOff>
        </xdr:to>
        <xdr:sp macro="" textlink="">
          <xdr:nvSpPr>
            <xdr:cNvPr id="2054" name="Scroll Bar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857250</xdr:colOff>
          <xdr:row>23</xdr:row>
          <xdr:rowOff>152400</xdr:rowOff>
        </xdr:from>
        <xdr:to>
          <xdr:col>10</xdr:col>
          <xdr:colOff>809625</xdr:colOff>
          <xdr:row>24</xdr:row>
          <xdr:rowOff>152400</xdr:rowOff>
        </xdr:to>
        <xdr:sp macro="" textlink="">
          <xdr:nvSpPr>
            <xdr:cNvPr id="2055" name="Scroll Bar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2056" name="Scroll Bar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25</xdr:row>
          <xdr:rowOff>0</xdr:rowOff>
        </xdr:from>
        <xdr:to>
          <xdr:col>4</xdr:col>
          <xdr:colOff>0</xdr:colOff>
          <xdr:row>26</xdr:row>
          <xdr:rowOff>0</xdr:rowOff>
        </xdr:to>
        <xdr:sp macro="" textlink="">
          <xdr:nvSpPr>
            <xdr:cNvPr id="2057" name="Scroll Bar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0</xdr:rowOff>
        </xdr:from>
        <xdr:to>
          <xdr:col>4</xdr:col>
          <xdr:colOff>0</xdr:colOff>
          <xdr:row>28</xdr:row>
          <xdr:rowOff>0</xdr:rowOff>
        </xdr:to>
        <xdr:sp macro="" textlink="">
          <xdr:nvSpPr>
            <xdr:cNvPr id="2058" name="Scroll Bar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0</xdr:rowOff>
        </xdr:from>
        <xdr:to>
          <xdr:col>4</xdr:col>
          <xdr:colOff>0</xdr:colOff>
          <xdr:row>30</xdr:row>
          <xdr:rowOff>0</xdr:rowOff>
        </xdr:to>
        <xdr:sp macro="" textlink="">
          <xdr:nvSpPr>
            <xdr:cNvPr id="2059" name="Scroll Bar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31</xdr:row>
          <xdr:rowOff>0</xdr:rowOff>
        </xdr:from>
        <xdr:to>
          <xdr:col>4</xdr:col>
          <xdr:colOff>0</xdr:colOff>
          <xdr:row>32</xdr:row>
          <xdr:rowOff>0</xdr:rowOff>
        </xdr:to>
        <xdr:sp macro="" textlink="">
          <xdr:nvSpPr>
            <xdr:cNvPr id="2060" name="Scroll Bar 12" hidden="1">
              <a:extLst>
                <a:ext uri="{63B3BB69-23CF-44E3-9099-C40C66FF867C}">
                  <a14:compatExt spid="_x0000_s2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876300</xdr:colOff>
          <xdr:row>33</xdr:row>
          <xdr:rowOff>0</xdr:rowOff>
        </xdr:from>
        <xdr:to>
          <xdr:col>3</xdr:col>
          <xdr:colOff>838200</xdr:colOff>
          <xdr:row>34</xdr:row>
          <xdr:rowOff>0</xdr:rowOff>
        </xdr:to>
        <xdr:sp macro="" textlink="">
          <xdr:nvSpPr>
            <xdr:cNvPr id="2061" name="Scroll Bar 13" hidden="1">
              <a:extLst>
                <a:ext uri="{63B3BB69-23CF-44E3-9099-C40C66FF867C}">
                  <a14:compatExt spid="_x0000_s2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847725</xdr:colOff>
          <xdr:row>35</xdr:row>
          <xdr:rowOff>19050</xdr:rowOff>
        </xdr:from>
        <xdr:to>
          <xdr:col>3</xdr:col>
          <xdr:colOff>809625</xdr:colOff>
          <xdr:row>36</xdr:row>
          <xdr:rowOff>19050</xdr:rowOff>
        </xdr:to>
        <xdr:sp macro="" textlink="">
          <xdr:nvSpPr>
            <xdr:cNvPr id="2062" name="Scroll Bar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omments" Target="../comments1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8.xml"/><Relationship Id="rId13" Type="http://schemas.openxmlformats.org/officeDocument/2006/relationships/ctrlProp" Target="../ctrlProps/ctrlProp23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7.xml"/><Relationship Id="rId12" Type="http://schemas.openxmlformats.org/officeDocument/2006/relationships/ctrlProp" Target="../ctrlProps/ctrlProp22.xml"/><Relationship Id="rId17" Type="http://schemas.openxmlformats.org/officeDocument/2006/relationships/comments" Target="../comments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6.xml"/><Relationship Id="rId11" Type="http://schemas.openxmlformats.org/officeDocument/2006/relationships/ctrlProp" Target="../ctrlProps/ctrlProp21.xml"/><Relationship Id="rId5" Type="http://schemas.openxmlformats.org/officeDocument/2006/relationships/ctrlProp" Target="../ctrlProps/ctrlProp15.xml"/><Relationship Id="rId15" Type="http://schemas.openxmlformats.org/officeDocument/2006/relationships/ctrlProp" Target="../ctrlProps/ctrlProp25.xml"/><Relationship Id="rId10" Type="http://schemas.openxmlformats.org/officeDocument/2006/relationships/ctrlProp" Target="../ctrlProps/ctrlProp20.xml"/><Relationship Id="rId4" Type="http://schemas.openxmlformats.org/officeDocument/2006/relationships/ctrlProp" Target="../ctrlProps/ctrlProp14.xml"/><Relationship Id="rId9" Type="http://schemas.openxmlformats.org/officeDocument/2006/relationships/ctrlProp" Target="../ctrlProps/ctrlProp19.xml"/><Relationship Id="rId14" Type="http://schemas.openxmlformats.org/officeDocument/2006/relationships/ctrlProp" Target="../ctrlProps/ctrlProp24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1.xml"/><Relationship Id="rId13" Type="http://schemas.openxmlformats.org/officeDocument/2006/relationships/ctrlProp" Target="../ctrlProps/ctrlProp36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30.xml"/><Relationship Id="rId12" Type="http://schemas.openxmlformats.org/officeDocument/2006/relationships/ctrlProp" Target="../ctrlProps/ctrlProp35.xml"/><Relationship Id="rId17" Type="http://schemas.openxmlformats.org/officeDocument/2006/relationships/comments" Target="../comments3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39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29.xml"/><Relationship Id="rId11" Type="http://schemas.openxmlformats.org/officeDocument/2006/relationships/ctrlProp" Target="../ctrlProps/ctrlProp34.xml"/><Relationship Id="rId5" Type="http://schemas.openxmlformats.org/officeDocument/2006/relationships/ctrlProp" Target="../ctrlProps/ctrlProp28.xml"/><Relationship Id="rId15" Type="http://schemas.openxmlformats.org/officeDocument/2006/relationships/ctrlProp" Target="../ctrlProps/ctrlProp38.xml"/><Relationship Id="rId10" Type="http://schemas.openxmlformats.org/officeDocument/2006/relationships/ctrlProp" Target="../ctrlProps/ctrlProp33.xml"/><Relationship Id="rId4" Type="http://schemas.openxmlformats.org/officeDocument/2006/relationships/ctrlProp" Target="../ctrlProps/ctrlProp27.xml"/><Relationship Id="rId9" Type="http://schemas.openxmlformats.org/officeDocument/2006/relationships/ctrlProp" Target="../ctrlProps/ctrlProp32.xml"/><Relationship Id="rId14" Type="http://schemas.openxmlformats.org/officeDocument/2006/relationships/ctrlProp" Target="../ctrlProps/ctrlProp3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T47"/>
  <sheetViews>
    <sheetView zoomScale="85" zoomScaleNormal="100" workbookViewId="0">
      <selection activeCell="Q18" sqref="Q18"/>
    </sheetView>
  </sheetViews>
  <sheetFormatPr defaultRowHeight="12.75" x14ac:dyDescent="0.2"/>
  <cols>
    <col min="1" max="1" width="2.28515625" customWidth="1"/>
    <col min="2" max="2" width="13.28515625" customWidth="1"/>
    <col min="3" max="3" width="10.7109375" customWidth="1"/>
    <col min="4" max="4" width="8.140625" customWidth="1"/>
    <col min="6" max="6" width="13" bestFit="1" customWidth="1"/>
    <col min="8" max="8" width="2.28515625" customWidth="1"/>
    <col min="9" max="9" width="12.42578125" customWidth="1"/>
    <col min="11" max="11" width="10" customWidth="1"/>
    <col min="12" max="12" width="12.7109375" customWidth="1"/>
    <col min="14" max="14" width="3.28515625" customWidth="1"/>
    <col min="17" max="17" width="13.140625" customWidth="1"/>
  </cols>
  <sheetData>
    <row r="1" spans="1:20" ht="20.25" x14ac:dyDescent="0.3">
      <c r="A1" s="10"/>
      <c r="B1" s="48" t="s">
        <v>21</v>
      </c>
      <c r="C1" s="10"/>
      <c r="D1" s="10"/>
      <c r="E1" s="10"/>
      <c r="F1" s="49" t="s">
        <v>62</v>
      </c>
      <c r="G1" s="10"/>
      <c r="H1" s="10"/>
      <c r="I1" s="10"/>
      <c r="J1" s="10"/>
      <c r="K1" s="10"/>
      <c r="L1" s="10"/>
      <c r="M1" s="41">
        <v>195</v>
      </c>
      <c r="N1" s="10"/>
      <c r="O1" s="10"/>
      <c r="P1" s="10"/>
      <c r="Q1" s="10"/>
    </row>
    <row r="2" spans="1:20" ht="20.25" x14ac:dyDescent="0.2">
      <c r="A2" s="50"/>
      <c r="B2" s="51" t="s">
        <v>63</v>
      </c>
      <c r="C2" s="50"/>
      <c r="D2" s="50"/>
      <c r="E2" s="50"/>
      <c r="F2" s="52"/>
      <c r="G2" s="50"/>
      <c r="H2" s="50"/>
      <c r="I2" s="50"/>
      <c r="J2" s="50"/>
      <c r="K2" s="50"/>
      <c r="L2" s="50"/>
      <c r="M2" s="53"/>
      <c r="N2" s="50"/>
      <c r="O2" s="50"/>
      <c r="P2" s="50"/>
      <c r="Q2" s="50"/>
      <c r="R2" s="54"/>
      <c r="S2" s="54"/>
      <c r="T2" s="54"/>
    </row>
    <row r="3" spans="1:20" ht="18" x14ac:dyDescent="0.25">
      <c r="A3" s="10"/>
      <c r="B3" s="23" t="s">
        <v>28</v>
      </c>
      <c r="C3" s="6"/>
      <c r="D3" s="6"/>
      <c r="E3" s="6"/>
      <c r="F3" s="6"/>
      <c r="G3" s="7"/>
      <c r="H3" s="10"/>
      <c r="I3" s="24" t="s">
        <v>26</v>
      </c>
      <c r="J3" s="14"/>
      <c r="K3" s="14"/>
      <c r="L3" s="14"/>
      <c r="M3" s="19"/>
      <c r="N3" s="19"/>
      <c r="O3" s="41"/>
      <c r="P3" s="41"/>
      <c r="Q3" s="41"/>
      <c r="R3" s="40"/>
    </row>
    <row r="4" spans="1:20" x14ac:dyDescent="0.2">
      <c r="A4" s="10"/>
      <c r="B4" s="7"/>
      <c r="C4" s="6"/>
      <c r="D4" s="6"/>
      <c r="E4" s="6"/>
      <c r="F4" s="6"/>
      <c r="G4" s="7"/>
      <c r="H4" s="10"/>
      <c r="I4" s="14"/>
      <c r="J4" s="14"/>
      <c r="K4" s="14"/>
      <c r="L4" s="14"/>
      <c r="M4" s="19"/>
      <c r="N4" s="19"/>
      <c r="O4" s="41"/>
      <c r="P4" s="41"/>
      <c r="Q4" s="41"/>
      <c r="R4" s="40"/>
    </row>
    <row r="5" spans="1:20" x14ac:dyDescent="0.2">
      <c r="A5" s="10"/>
      <c r="B5" s="55"/>
      <c r="C5" s="55"/>
      <c r="D5" s="55"/>
      <c r="E5" s="56" t="s">
        <v>3</v>
      </c>
      <c r="F5" s="56" t="s">
        <v>4</v>
      </c>
      <c r="G5" s="57"/>
      <c r="H5" s="10"/>
      <c r="I5" s="16"/>
      <c r="J5" s="16"/>
      <c r="K5" s="16"/>
      <c r="L5" s="16"/>
      <c r="M5" s="20"/>
      <c r="N5" s="20"/>
      <c r="O5" s="42" t="s">
        <v>13</v>
      </c>
      <c r="P5" s="43">
        <v>45000</v>
      </c>
      <c r="Q5" s="41"/>
      <c r="R5" s="40"/>
    </row>
    <row r="6" spans="1:20" x14ac:dyDescent="0.2">
      <c r="A6" s="10"/>
      <c r="B6" s="58" t="s">
        <v>0</v>
      </c>
      <c r="C6" s="59">
        <v>176</v>
      </c>
      <c r="D6" s="59"/>
      <c r="E6" s="60">
        <v>494</v>
      </c>
      <c r="F6" s="60">
        <v>767</v>
      </c>
      <c r="G6" s="57"/>
      <c r="H6" s="10"/>
      <c r="I6" s="28" t="s">
        <v>18</v>
      </c>
      <c r="J6" s="28"/>
      <c r="K6" s="61">
        <v>54.009752381789454</v>
      </c>
      <c r="L6" s="62" t="s">
        <v>19</v>
      </c>
      <c r="M6" s="20"/>
      <c r="N6" s="20"/>
      <c r="O6" s="42" t="s">
        <v>6</v>
      </c>
      <c r="P6" s="43">
        <v>-4.5306388526727517</v>
      </c>
      <c r="Q6" s="41"/>
      <c r="R6" s="40"/>
    </row>
    <row r="7" spans="1:20" x14ac:dyDescent="0.2">
      <c r="A7" s="10"/>
      <c r="B7" s="55"/>
      <c r="C7" s="55"/>
      <c r="D7" s="55"/>
      <c r="E7" s="57"/>
      <c r="F7" s="57"/>
      <c r="G7" s="57"/>
      <c r="H7" s="10"/>
      <c r="I7" s="22"/>
      <c r="J7" s="22"/>
      <c r="K7" s="63"/>
      <c r="L7" s="63"/>
      <c r="M7" s="64" t="s">
        <v>64</v>
      </c>
      <c r="N7" s="65"/>
      <c r="O7" s="66"/>
      <c r="P7" s="43">
        <v>1.0773791008524951E-2</v>
      </c>
      <c r="Q7" s="41"/>
      <c r="R7" s="40"/>
    </row>
    <row r="8" spans="1:20" x14ac:dyDescent="0.2">
      <c r="A8" s="10"/>
      <c r="B8" s="55"/>
      <c r="C8" s="67">
        <v>730</v>
      </c>
      <c r="D8" s="67"/>
      <c r="E8" s="56" t="s">
        <v>5</v>
      </c>
      <c r="F8" s="57"/>
      <c r="G8" s="57"/>
      <c r="H8" s="10"/>
      <c r="I8" s="22"/>
      <c r="J8" s="22"/>
      <c r="K8" s="63"/>
      <c r="L8" s="63"/>
      <c r="M8" s="68" t="s">
        <v>65</v>
      </c>
      <c r="N8" s="69"/>
      <c r="O8" s="70"/>
      <c r="P8" s="43">
        <v>1745.8789443347189</v>
      </c>
      <c r="Q8" s="41"/>
      <c r="R8" s="40"/>
    </row>
    <row r="9" spans="1:20" x14ac:dyDescent="0.2">
      <c r="A9" s="10"/>
      <c r="B9" s="58" t="s">
        <v>1</v>
      </c>
      <c r="C9" s="59">
        <v>322</v>
      </c>
      <c r="D9" s="59"/>
      <c r="E9" s="60">
        <v>730</v>
      </c>
      <c r="F9" s="71" t="s">
        <v>66</v>
      </c>
      <c r="G9" s="72"/>
      <c r="H9" s="10"/>
      <c r="I9" s="28" t="s">
        <v>20</v>
      </c>
      <c r="J9" s="28"/>
      <c r="K9" s="73">
        <v>1.760989102777589</v>
      </c>
      <c r="L9" s="74" t="s">
        <v>67</v>
      </c>
      <c r="M9" s="68" t="s">
        <v>68</v>
      </c>
      <c r="N9" s="69"/>
      <c r="O9" s="70"/>
      <c r="P9" s="43">
        <v>957.33655956059283</v>
      </c>
      <c r="Q9" s="41"/>
      <c r="R9" s="40"/>
    </row>
    <row r="10" spans="1:20" x14ac:dyDescent="0.2">
      <c r="A10" s="10"/>
      <c r="B10" s="75"/>
      <c r="C10" s="55"/>
      <c r="D10" s="55"/>
      <c r="E10" s="57"/>
      <c r="F10" s="76" t="s">
        <v>69</v>
      </c>
      <c r="G10" s="77"/>
      <c r="H10" s="10"/>
      <c r="I10" s="16"/>
      <c r="J10" s="16"/>
      <c r="K10" s="63" t="s">
        <v>70</v>
      </c>
      <c r="L10" s="63"/>
      <c r="M10" s="68" t="s">
        <v>71</v>
      </c>
      <c r="N10" s="69"/>
      <c r="O10" s="70"/>
      <c r="P10" s="43">
        <v>394.27119238706302</v>
      </c>
      <c r="Q10" s="41"/>
      <c r="R10" s="40"/>
    </row>
    <row r="11" spans="1:20" x14ac:dyDescent="0.2">
      <c r="A11" s="10"/>
      <c r="B11" s="55"/>
      <c r="C11" s="78">
        <v>150</v>
      </c>
      <c r="D11" s="55"/>
      <c r="E11" s="57"/>
      <c r="F11" s="76" t="s">
        <v>72</v>
      </c>
      <c r="G11" s="77"/>
      <c r="H11" s="10"/>
      <c r="I11" s="16"/>
      <c r="J11" s="16"/>
      <c r="K11" s="63"/>
      <c r="L11" s="63"/>
      <c r="M11" s="68" t="s">
        <v>73</v>
      </c>
      <c r="N11" s="69"/>
      <c r="O11" s="70"/>
      <c r="P11" s="43">
        <v>54.009752381789454</v>
      </c>
      <c r="Q11" s="41"/>
      <c r="R11" s="40"/>
    </row>
    <row r="12" spans="1:20" x14ac:dyDescent="0.2">
      <c r="A12" s="10"/>
      <c r="B12" s="58" t="s">
        <v>2</v>
      </c>
      <c r="C12" s="79">
        <v>1</v>
      </c>
      <c r="D12" s="80"/>
      <c r="E12" s="60" t="s">
        <v>8</v>
      </c>
      <c r="F12" s="81"/>
      <c r="G12" s="82"/>
      <c r="H12" s="10"/>
      <c r="I12" s="28" t="s">
        <v>44</v>
      </c>
      <c r="J12" s="33"/>
      <c r="K12" s="74">
        <v>23.5</v>
      </c>
      <c r="L12" s="74" t="s">
        <v>45</v>
      </c>
      <c r="M12" s="83"/>
      <c r="N12" s="84"/>
      <c r="O12" s="85"/>
      <c r="P12" s="41"/>
      <c r="Q12" s="41"/>
      <c r="R12" s="40"/>
    </row>
    <row r="13" spans="1:20" x14ac:dyDescent="0.2">
      <c r="A13" s="10"/>
      <c r="B13" s="55"/>
      <c r="C13" s="55" t="s">
        <v>6</v>
      </c>
      <c r="D13" s="75" t="s">
        <v>11</v>
      </c>
      <c r="E13" s="57"/>
      <c r="F13" s="57"/>
      <c r="G13" s="57"/>
      <c r="H13" s="10"/>
      <c r="I13" s="16"/>
      <c r="J13" s="16"/>
      <c r="K13" s="63"/>
      <c r="L13" s="63"/>
      <c r="M13" s="20"/>
      <c r="N13" s="20"/>
      <c r="O13" s="43"/>
      <c r="P13" s="43">
        <v>-29.335071707953063</v>
      </c>
      <c r="Q13" s="43"/>
      <c r="R13" s="40"/>
    </row>
    <row r="14" spans="1:20" x14ac:dyDescent="0.2">
      <c r="A14" s="10"/>
      <c r="B14" s="55"/>
      <c r="C14" s="55"/>
      <c r="D14" s="57" t="s">
        <v>7</v>
      </c>
      <c r="E14" s="71" t="s">
        <v>74</v>
      </c>
      <c r="F14" s="72"/>
      <c r="G14" s="57"/>
      <c r="H14" s="10"/>
      <c r="I14" s="16"/>
      <c r="J14" s="16"/>
      <c r="K14" s="63"/>
      <c r="L14" s="63"/>
      <c r="M14" s="20"/>
      <c r="N14" s="20"/>
      <c r="O14" s="42" t="s">
        <v>29</v>
      </c>
      <c r="P14" s="43">
        <v>1.9443510909009918</v>
      </c>
      <c r="Q14" s="43"/>
      <c r="R14" s="40"/>
    </row>
    <row r="15" spans="1:20" x14ac:dyDescent="0.2">
      <c r="A15" s="10"/>
      <c r="B15" s="55"/>
      <c r="C15" s="55"/>
      <c r="D15" s="57" t="s">
        <v>8</v>
      </c>
      <c r="E15" s="76" t="s">
        <v>75</v>
      </c>
      <c r="F15" s="77"/>
      <c r="G15" s="57"/>
      <c r="H15" s="10"/>
      <c r="I15" s="28" t="s">
        <v>50</v>
      </c>
      <c r="J15" s="28"/>
      <c r="K15" s="86">
        <v>8162.552876672803</v>
      </c>
      <c r="L15" s="74" t="s">
        <v>57</v>
      </c>
      <c r="M15" s="20"/>
      <c r="N15" s="20"/>
      <c r="O15" s="42" t="s">
        <v>30</v>
      </c>
      <c r="P15" s="43">
        <v>202.77777723999523</v>
      </c>
      <c r="Q15" s="43" t="s">
        <v>31</v>
      </c>
      <c r="R15" s="40"/>
    </row>
    <row r="16" spans="1:20" x14ac:dyDescent="0.2">
      <c r="A16" s="10"/>
      <c r="B16" s="55" t="s">
        <v>6</v>
      </c>
      <c r="C16" s="55"/>
      <c r="D16" s="57" t="s">
        <v>9</v>
      </c>
      <c r="E16" s="76" t="s">
        <v>76</v>
      </c>
      <c r="F16" s="77"/>
      <c r="G16" s="57"/>
      <c r="H16" s="10"/>
      <c r="I16" s="16"/>
      <c r="J16" s="16"/>
      <c r="K16" s="63"/>
      <c r="L16" s="63"/>
      <c r="M16" s="20"/>
      <c r="N16" s="20"/>
      <c r="O16" s="43"/>
      <c r="P16" s="43">
        <v>3.379629620666587</v>
      </c>
      <c r="Q16" s="43" t="s">
        <v>32</v>
      </c>
      <c r="R16" s="40"/>
    </row>
    <row r="17" spans="1:18" x14ac:dyDescent="0.2">
      <c r="A17" s="10"/>
      <c r="B17" s="55"/>
      <c r="C17" s="55"/>
      <c r="D17" s="57" t="s">
        <v>10</v>
      </c>
      <c r="E17" s="87" t="s">
        <v>70</v>
      </c>
      <c r="F17" s="88"/>
      <c r="G17" s="89"/>
      <c r="H17" s="10"/>
      <c r="I17" s="16"/>
      <c r="J17" s="16"/>
      <c r="K17" s="16"/>
      <c r="L17" s="16"/>
      <c r="M17" s="20"/>
      <c r="N17" s="20"/>
      <c r="O17" s="43"/>
      <c r="P17" s="43">
        <v>5.5252800337873362E-3</v>
      </c>
      <c r="Q17" s="43" t="s">
        <v>33</v>
      </c>
      <c r="R17" s="40"/>
    </row>
    <row r="18" spans="1:18" x14ac:dyDescent="0.2">
      <c r="A18" s="10"/>
      <c r="B18" s="55"/>
      <c r="C18" s="55"/>
      <c r="D18" s="55"/>
      <c r="E18" s="75" t="s">
        <v>70</v>
      </c>
      <c r="F18" s="75"/>
      <c r="G18" s="75"/>
      <c r="H18" s="10"/>
      <c r="I18" s="16"/>
      <c r="J18" s="16"/>
      <c r="K18" s="16"/>
      <c r="L18" s="16"/>
      <c r="M18" s="20"/>
      <c r="N18" s="20"/>
      <c r="O18" s="43"/>
      <c r="P18" s="43">
        <v>2.3469650143517966E-3</v>
      </c>
      <c r="Q18" s="43" t="s">
        <v>34</v>
      </c>
      <c r="R18" s="40"/>
    </row>
    <row r="19" spans="1:18" x14ac:dyDescent="0.2">
      <c r="A19" s="10"/>
      <c r="B19" s="55"/>
      <c r="C19" s="55"/>
      <c r="D19" s="55"/>
      <c r="E19" s="55"/>
      <c r="F19" s="55"/>
      <c r="G19" s="55"/>
      <c r="H19" s="10"/>
      <c r="I19" s="16"/>
      <c r="J19" s="16"/>
      <c r="K19" s="16"/>
      <c r="L19" s="16"/>
      <c r="M19" s="20"/>
      <c r="N19" s="20"/>
      <c r="O19" s="43"/>
      <c r="P19" s="43">
        <v>6.4256400119145698E-6</v>
      </c>
      <c r="Q19" s="43" t="s">
        <v>35</v>
      </c>
      <c r="R19" s="40"/>
    </row>
    <row r="20" spans="1:18" ht="18" x14ac:dyDescent="0.25">
      <c r="A20" s="10"/>
      <c r="B20" s="27" t="s">
        <v>12</v>
      </c>
      <c r="C20" s="9"/>
      <c r="D20" s="9"/>
      <c r="E20" s="9"/>
      <c r="F20" s="9"/>
      <c r="G20" s="9"/>
      <c r="H20" s="10"/>
      <c r="I20" s="24" t="s">
        <v>25</v>
      </c>
      <c r="J20" s="14"/>
      <c r="K20" s="14"/>
      <c r="L20" s="14"/>
      <c r="M20" s="19"/>
      <c r="N20" s="19"/>
      <c r="O20" s="41"/>
      <c r="P20" s="41"/>
      <c r="Q20" s="41"/>
      <c r="R20" s="40"/>
    </row>
    <row r="21" spans="1:18" x14ac:dyDescent="0.2">
      <c r="A21" s="10"/>
      <c r="B21" s="9"/>
      <c r="C21" s="9"/>
      <c r="D21" s="9"/>
      <c r="E21" s="9"/>
      <c r="F21" s="9"/>
      <c r="G21" s="9"/>
      <c r="H21" s="10"/>
      <c r="I21" s="14"/>
      <c r="J21" s="14"/>
      <c r="K21" s="14"/>
      <c r="L21" s="14"/>
      <c r="M21" s="19"/>
      <c r="N21" s="19"/>
      <c r="O21" s="10"/>
      <c r="P21" s="10"/>
      <c r="Q21" s="10"/>
    </row>
    <row r="22" spans="1:18" x14ac:dyDescent="0.2">
      <c r="A22" s="10"/>
      <c r="B22" s="1"/>
      <c r="C22" s="1"/>
      <c r="D22" s="1"/>
      <c r="E22" s="90" t="s">
        <v>24</v>
      </c>
      <c r="F22" s="5"/>
      <c r="G22" s="1"/>
      <c r="H22" s="10"/>
      <c r="I22" s="16"/>
      <c r="J22" s="16"/>
      <c r="K22" s="16"/>
      <c r="L22" s="16"/>
      <c r="M22" s="20"/>
      <c r="N22" s="20"/>
      <c r="O22" s="10"/>
      <c r="P22" s="10"/>
      <c r="Q22" s="10"/>
    </row>
    <row r="23" spans="1:18" x14ac:dyDescent="0.2">
      <c r="B23" s="45" t="s">
        <v>37</v>
      </c>
      <c r="C23" s="12"/>
      <c r="D23" s="12"/>
      <c r="E23" s="91">
        <v>23</v>
      </c>
      <c r="F23" s="74" t="s">
        <v>27</v>
      </c>
      <c r="G23" s="1"/>
      <c r="H23" s="10"/>
      <c r="I23" s="28" t="s">
        <v>22</v>
      </c>
      <c r="J23" s="37"/>
      <c r="K23" s="15"/>
      <c r="L23" s="92">
        <v>267</v>
      </c>
      <c r="M23" s="62" t="s">
        <v>27</v>
      </c>
      <c r="N23" s="1"/>
      <c r="O23" s="93" t="s">
        <v>77</v>
      </c>
      <c r="P23" s="93"/>
      <c r="Q23" s="93"/>
    </row>
    <row r="24" spans="1:18" x14ac:dyDescent="0.2">
      <c r="B24" s="1"/>
      <c r="C24" s="1"/>
      <c r="D24" s="1"/>
      <c r="E24" s="94"/>
      <c r="F24" s="5"/>
      <c r="G24" s="1"/>
      <c r="H24" s="10"/>
      <c r="I24" s="28" t="s">
        <v>23</v>
      </c>
      <c r="J24" s="37"/>
      <c r="K24" s="15"/>
      <c r="L24" s="63"/>
      <c r="M24" s="63"/>
      <c r="N24" s="15"/>
      <c r="O24" s="93" t="s">
        <v>78</v>
      </c>
      <c r="P24" s="93"/>
      <c r="Q24" s="93"/>
      <c r="R24" t="s">
        <v>6</v>
      </c>
    </row>
    <row r="25" spans="1:18" x14ac:dyDescent="0.2">
      <c r="B25" s="45" t="s">
        <v>0</v>
      </c>
      <c r="C25" s="1"/>
      <c r="D25" s="1"/>
      <c r="E25" s="92">
        <v>162</v>
      </c>
      <c r="F25" s="74" t="s">
        <v>27</v>
      </c>
      <c r="G25" s="1"/>
      <c r="H25" s="10"/>
      <c r="I25" s="15"/>
      <c r="J25" s="15"/>
      <c r="K25" s="15"/>
      <c r="L25" s="63"/>
      <c r="M25" s="63"/>
      <c r="N25" s="15"/>
      <c r="O25" s="93" t="s">
        <v>79</v>
      </c>
      <c r="P25" s="93"/>
      <c r="Q25" s="93"/>
    </row>
    <row r="26" spans="1:18" x14ac:dyDescent="0.2">
      <c r="B26" s="1" t="s">
        <v>6</v>
      </c>
      <c r="C26" s="1"/>
      <c r="D26" s="1"/>
      <c r="E26" s="94"/>
      <c r="F26" s="5"/>
      <c r="G26" s="1"/>
      <c r="H26" s="10"/>
      <c r="I26" s="28" t="s">
        <v>51</v>
      </c>
      <c r="J26" s="15"/>
      <c r="K26" s="15">
        <v>1415</v>
      </c>
      <c r="L26" s="62">
        <v>1415</v>
      </c>
      <c r="M26" s="62" t="s">
        <v>43</v>
      </c>
      <c r="N26" s="15"/>
      <c r="O26" s="93"/>
      <c r="P26" s="93"/>
      <c r="Q26" s="93"/>
    </row>
    <row r="27" spans="1:18" x14ac:dyDescent="0.2">
      <c r="B27" s="45" t="s">
        <v>1</v>
      </c>
      <c r="C27" s="12"/>
      <c r="D27" s="12"/>
      <c r="E27" s="91">
        <v>20</v>
      </c>
      <c r="F27" s="74" t="s">
        <v>27</v>
      </c>
      <c r="G27" s="1"/>
      <c r="H27" s="10"/>
      <c r="I27" s="15"/>
      <c r="J27" s="15"/>
      <c r="K27" s="15"/>
      <c r="L27" s="63"/>
      <c r="M27" s="63"/>
      <c r="N27" s="15"/>
      <c r="O27" s="93"/>
      <c r="P27" s="93"/>
      <c r="Q27" s="93"/>
    </row>
    <row r="28" spans="1:18" x14ac:dyDescent="0.2">
      <c r="B28" s="3" t="s">
        <v>6</v>
      </c>
      <c r="C28" s="1"/>
      <c r="D28" s="1"/>
      <c r="E28" s="94"/>
      <c r="F28" s="5"/>
      <c r="G28" s="1"/>
      <c r="H28" s="10"/>
      <c r="I28" s="28" t="s">
        <v>59</v>
      </c>
      <c r="J28" s="37"/>
      <c r="K28" s="28" t="s">
        <v>42</v>
      </c>
      <c r="L28" s="95">
        <v>377805</v>
      </c>
      <c r="M28" s="62" t="s">
        <v>52</v>
      </c>
      <c r="N28" s="15"/>
      <c r="O28" s="10"/>
      <c r="P28" s="10"/>
      <c r="Q28" s="10"/>
    </row>
    <row r="29" spans="1:18" x14ac:dyDescent="0.2">
      <c r="B29" s="45" t="s">
        <v>38</v>
      </c>
      <c r="C29" s="12" t="s">
        <v>6</v>
      </c>
      <c r="D29" s="12">
        <v>12</v>
      </c>
      <c r="E29" s="91">
        <v>12</v>
      </c>
      <c r="F29" s="74" t="s">
        <v>27</v>
      </c>
      <c r="G29" s="32">
        <v>1.2</v>
      </c>
      <c r="H29" s="10"/>
      <c r="I29" s="22" t="s">
        <v>6</v>
      </c>
      <c r="J29" s="15"/>
      <c r="K29" s="28" t="s">
        <v>60</v>
      </c>
      <c r="L29" s="86">
        <v>1415</v>
      </c>
      <c r="M29" s="74" t="s">
        <v>58</v>
      </c>
      <c r="N29" s="15"/>
      <c r="O29" s="10"/>
      <c r="P29" s="10"/>
      <c r="Q29" s="10"/>
    </row>
    <row r="30" spans="1:18" x14ac:dyDescent="0.2">
      <c r="B30" s="3" t="s">
        <v>6</v>
      </c>
      <c r="C30" s="1"/>
      <c r="D30" s="1"/>
      <c r="E30" s="94"/>
      <c r="F30" s="5"/>
      <c r="G30" s="1"/>
      <c r="H30" s="10"/>
      <c r="I30" s="22" t="s">
        <v>6</v>
      </c>
      <c r="J30" s="15"/>
      <c r="K30" s="15"/>
      <c r="L30" s="63"/>
      <c r="M30" s="63"/>
      <c r="N30" s="15"/>
      <c r="O30" s="10"/>
      <c r="P30" s="10"/>
      <c r="Q30" s="10"/>
    </row>
    <row r="31" spans="1:18" x14ac:dyDescent="0.2">
      <c r="B31" s="45" t="s">
        <v>36</v>
      </c>
      <c r="C31" s="12" t="s">
        <v>6</v>
      </c>
      <c r="D31" s="12">
        <v>21621</v>
      </c>
      <c r="E31" s="91">
        <v>42242</v>
      </c>
      <c r="F31" s="74" t="s">
        <v>46</v>
      </c>
      <c r="G31" s="1"/>
      <c r="H31" s="10"/>
      <c r="I31" s="15"/>
      <c r="J31" s="15"/>
      <c r="K31" s="15"/>
      <c r="L31" s="63"/>
      <c r="M31" s="63"/>
      <c r="N31" s="15"/>
      <c r="O31" s="10"/>
      <c r="P31" s="10"/>
      <c r="Q31" s="10"/>
    </row>
    <row r="32" spans="1:18" x14ac:dyDescent="0.2">
      <c r="B32" s="3" t="s">
        <v>6</v>
      </c>
      <c r="C32" s="1"/>
      <c r="D32" s="1"/>
      <c r="E32" s="94"/>
      <c r="F32" s="5"/>
      <c r="G32" s="1"/>
      <c r="H32" s="10"/>
      <c r="I32" s="28" t="s">
        <v>56</v>
      </c>
      <c r="J32" s="28"/>
      <c r="K32" s="37"/>
      <c r="L32" s="92">
        <v>1771273.9742379982</v>
      </c>
      <c r="M32" s="74" t="s">
        <v>46</v>
      </c>
      <c r="N32" s="15"/>
      <c r="O32" s="96" t="s">
        <v>80</v>
      </c>
      <c r="P32" s="97"/>
      <c r="Q32" s="97"/>
    </row>
    <row r="33" spans="1:17" x14ac:dyDescent="0.2">
      <c r="B33" s="45" t="s">
        <v>39</v>
      </c>
      <c r="C33" s="12" t="s">
        <v>6</v>
      </c>
      <c r="D33" s="12"/>
      <c r="E33" s="91">
        <v>25</v>
      </c>
      <c r="F33" s="74" t="s">
        <v>47</v>
      </c>
      <c r="G33" s="44">
        <v>360</v>
      </c>
      <c r="H33" s="10"/>
      <c r="I33" s="22" t="s">
        <v>6</v>
      </c>
      <c r="J33" s="15"/>
      <c r="K33" s="15"/>
      <c r="L33" s="91">
        <v>217</v>
      </c>
      <c r="M33" s="74" t="s">
        <v>27</v>
      </c>
      <c r="N33" s="15"/>
      <c r="O33" s="97" t="s">
        <v>81</v>
      </c>
      <c r="P33" s="97"/>
      <c r="Q33" s="97"/>
    </row>
    <row r="34" spans="1:17" x14ac:dyDescent="0.2">
      <c r="B34" s="3" t="s">
        <v>6</v>
      </c>
      <c r="C34" s="1"/>
      <c r="D34" s="1"/>
      <c r="E34" s="94"/>
      <c r="F34" s="5"/>
      <c r="G34" s="1"/>
      <c r="H34" s="10"/>
      <c r="I34" s="15"/>
      <c r="J34" s="15"/>
      <c r="K34" s="15"/>
      <c r="L34" s="63"/>
      <c r="M34" s="63"/>
      <c r="N34" s="15"/>
      <c r="O34" s="97" t="s">
        <v>82</v>
      </c>
      <c r="P34" s="97"/>
      <c r="Q34" s="97"/>
    </row>
    <row r="35" spans="1:17" x14ac:dyDescent="0.2">
      <c r="B35" s="45" t="s">
        <v>40</v>
      </c>
      <c r="C35" s="12" t="s">
        <v>6</v>
      </c>
      <c r="D35" s="12">
        <v>92</v>
      </c>
      <c r="E35" s="91">
        <v>23</v>
      </c>
      <c r="F35" s="74" t="s">
        <v>27</v>
      </c>
      <c r="G35" s="1"/>
      <c r="H35" s="10"/>
      <c r="I35" s="28" t="s">
        <v>83</v>
      </c>
      <c r="J35" s="28" t="s">
        <v>84</v>
      </c>
      <c r="K35" s="37"/>
      <c r="L35" s="92">
        <v>155193.71616347446</v>
      </c>
      <c r="M35" s="74" t="s">
        <v>46</v>
      </c>
      <c r="N35" s="15"/>
      <c r="O35" s="96" t="s">
        <v>85</v>
      </c>
      <c r="P35" s="97"/>
      <c r="Q35" s="97"/>
    </row>
    <row r="36" spans="1:17" x14ac:dyDescent="0.2">
      <c r="B36" s="1" t="s">
        <v>6</v>
      </c>
      <c r="C36" s="1"/>
      <c r="D36" s="1"/>
      <c r="E36" s="5"/>
      <c r="F36" s="5"/>
      <c r="G36" s="1"/>
      <c r="H36" s="10"/>
      <c r="I36" s="15" t="s">
        <v>6</v>
      </c>
      <c r="J36" s="15"/>
      <c r="K36" s="15"/>
      <c r="L36" s="63"/>
      <c r="M36" s="63"/>
      <c r="N36" s="15"/>
      <c r="O36" s="97" t="s">
        <v>86</v>
      </c>
      <c r="P36" s="97"/>
      <c r="Q36" s="97"/>
    </row>
    <row r="37" spans="1:17" x14ac:dyDescent="0.2">
      <c r="B37" s="45" t="s">
        <v>48</v>
      </c>
      <c r="C37" s="1"/>
      <c r="D37" s="1">
        <v>7</v>
      </c>
      <c r="E37" s="74">
        <v>24</v>
      </c>
      <c r="F37" s="74" t="s">
        <v>49</v>
      </c>
      <c r="G37" s="1"/>
      <c r="H37" s="10"/>
      <c r="I37" s="15"/>
      <c r="J37" s="15"/>
      <c r="K37" s="15"/>
      <c r="L37" s="63"/>
      <c r="M37" s="63"/>
      <c r="N37" s="15"/>
      <c r="O37" s="97" t="s">
        <v>87</v>
      </c>
      <c r="P37" s="97"/>
      <c r="Q37" s="97"/>
    </row>
    <row r="38" spans="1:17" x14ac:dyDescent="0.2">
      <c r="B38" s="1" t="s">
        <v>6</v>
      </c>
      <c r="C38" s="1"/>
      <c r="D38" s="1"/>
      <c r="E38" s="1"/>
      <c r="F38" s="1"/>
      <c r="G38" s="1"/>
      <c r="H38" s="10"/>
      <c r="I38" s="28" t="s">
        <v>54</v>
      </c>
      <c r="J38" s="28"/>
      <c r="K38" s="37"/>
      <c r="L38" s="91">
        <v>51242</v>
      </c>
      <c r="M38" s="74" t="s">
        <v>46</v>
      </c>
      <c r="N38" s="15"/>
      <c r="O38" s="93" t="s">
        <v>88</v>
      </c>
      <c r="P38" s="93"/>
      <c r="Q38" s="93"/>
    </row>
    <row r="39" spans="1:17" x14ac:dyDescent="0.2">
      <c r="B39" s="1" t="s">
        <v>6</v>
      </c>
      <c r="C39" s="97" t="s">
        <v>89</v>
      </c>
      <c r="D39" s="97"/>
      <c r="E39" s="97"/>
      <c r="F39" s="97"/>
      <c r="G39" s="1"/>
      <c r="H39" s="10"/>
      <c r="I39" s="15"/>
      <c r="J39" s="15"/>
      <c r="K39" s="15"/>
      <c r="L39" s="63"/>
      <c r="M39" s="63"/>
      <c r="N39" s="15"/>
      <c r="O39" s="93" t="s">
        <v>90</v>
      </c>
      <c r="P39" s="93"/>
      <c r="Q39" s="93"/>
    </row>
    <row r="40" spans="1:17" x14ac:dyDescent="0.2">
      <c r="A40" s="41"/>
      <c r="B40" s="41"/>
      <c r="C40" s="97" t="s">
        <v>91</v>
      </c>
      <c r="D40" s="97"/>
      <c r="E40" s="97"/>
      <c r="F40" s="97"/>
      <c r="G40" s="41"/>
      <c r="H40" s="10"/>
      <c r="I40" s="28" t="s">
        <v>53</v>
      </c>
      <c r="J40" s="28"/>
      <c r="K40" s="37"/>
      <c r="L40" s="91">
        <v>1977709.6904014726</v>
      </c>
      <c r="M40" s="74" t="s">
        <v>46</v>
      </c>
      <c r="N40" s="15"/>
      <c r="O40" s="10"/>
      <c r="P40" s="10"/>
      <c r="Q40" s="10"/>
    </row>
    <row r="41" spans="1:17" x14ac:dyDescent="0.2">
      <c r="A41" s="41"/>
      <c r="B41" s="41"/>
      <c r="C41" s="97" t="s">
        <v>92</v>
      </c>
      <c r="D41" s="97"/>
      <c r="E41" s="97"/>
      <c r="F41" s="97"/>
      <c r="G41" s="41"/>
      <c r="H41" s="10"/>
      <c r="I41" s="15"/>
      <c r="J41" s="15"/>
      <c r="K41" s="15"/>
      <c r="L41" s="63"/>
      <c r="M41" s="63"/>
      <c r="N41" s="15"/>
      <c r="O41" s="10"/>
      <c r="P41" s="10"/>
      <c r="Q41" s="10"/>
    </row>
    <row r="42" spans="1:17" x14ac:dyDescent="0.2">
      <c r="A42" s="41"/>
      <c r="B42" s="41"/>
      <c r="C42" s="97" t="s">
        <v>93</v>
      </c>
      <c r="D42" s="97"/>
      <c r="E42" s="97"/>
      <c r="F42" s="97"/>
      <c r="G42" s="41"/>
      <c r="H42" s="10"/>
      <c r="I42" s="28" t="s">
        <v>41</v>
      </c>
      <c r="J42" s="28"/>
      <c r="K42" s="37"/>
      <c r="L42" s="98">
        <v>-1599904.6904014726</v>
      </c>
      <c r="M42" s="74" t="s">
        <v>46</v>
      </c>
      <c r="N42" s="15"/>
      <c r="O42" s="10"/>
      <c r="P42" s="10"/>
      <c r="Q42" s="10"/>
    </row>
    <row r="43" spans="1:17" x14ac:dyDescent="0.2">
      <c r="A43" s="41"/>
      <c r="B43" s="41"/>
      <c r="C43" s="97" t="s">
        <v>94</v>
      </c>
      <c r="D43" s="97"/>
      <c r="E43" s="97"/>
      <c r="F43" s="97"/>
      <c r="G43" s="41"/>
      <c r="H43" s="10"/>
      <c r="I43" s="15"/>
      <c r="J43" s="15"/>
      <c r="K43" s="15"/>
      <c r="L43" s="15"/>
      <c r="M43" s="15"/>
      <c r="N43" s="15"/>
      <c r="O43" s="10"/>
      <c r="P43" s="10"/>
      <c r="Q43" s="10"/>
    </row>
    <row r="44" spans="1:17" x14ac:dyDescent="0.2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</row>
    <row r="45" spans="1:17" x14ac:dyDescent="0.2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</row>
    <row r="46" spans="1:17" x14ac:dyDescent="0.2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</row>
    <row r="47" spans="1:17" x14ac:dyDescent="0.2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</row>
  </sheetData>
  <phoneticPr fontId="4" type="noConversion"/>
  <pageMargins left="0.75" right="0.75" top="1" bottom="1" header="0.5" footer="0.5"/>
  <pageSetup scale="65" orientation="portrait" horizontalDpi="300" verticalDpi="300" r:id="rId1"/>
  <headerFooter alignWithMargins="0">
    <oddHeader>&amp;LUser&amp;CPage &amp;P&amp;R&amp;D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Scroll Bar 1">
              <controlPr defaultSize="0" autoPict="0">
                <anchor moveWithCells="1">
                  <from>
                    <xdr:col>2</xdr:col>
                    <xdr:colOff>95250</xdr:colOff>
                    <xdr:row>12</xdr:row>
                    <xdr:rowOff>9525</xdr:rowOff>
                  </from>
                  <to>
                    <xdr:col>2</xdr:col>
                    <xdr:colOff>276225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Scroll Bar 2">
              <controlPr defaultSize="0" autoPict="0">
                <anchor moveWithCells="1">
                  <from>
                    <xdr:col>2</xdr:col>
                    <xdr:colOff>0</xdr:colOff>
                    <xdr:row>5</xdr:row>
                    <xdr:rowOff>9525</xdr:rowOff>
                  </from>
                  <to>
                    <xdr:col>4</xdr:col>
                    <xdr:colOff>28575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Scroll Bar 3">
              <controlPr defaultSize="0" autoPict="0">
                <anchor moveWithCells="1">
                  <from>
                    <xdr:col>2</xdr:col>
                    <xdr:colOff>19050</xdr:colOff>
                    <xdr:row>8</xdr:row>
                    <xdr:rowOff>0</xdr:rowOff>
                  </from>
                  <to>
                    <xdr:col>4</xdr:col>
                    <xdr:colOff>47625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7" name="Scroll Bar 5">
              <controlPr defaultSize="0" autoPict="0">
                <anchor moveWithCells="1">
                  <from>
                    <xdr:col>9</xdr:col>
                    <xdr:colOff>19050</xdr:colOff>
                    <xdr:row>22</xdr:row>
                    <xdr:rowOff>0</xdr:rowOff>
                  </from>
                  <to>
                    <xdr:col>11</xdr:col>
                    <xdr:colOff>142875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8" name="Scroll Bar 6">
              <controlPr defaultSize="0" autoPict="0">
                <anchor moveWithCells="1">
                  <from>
                    <xdr:col>1</xdr:col>
                    <xdr:colOff>876300</xdr:colOff>
                    <xdr:row>22</xdr:row>
                    <xdr:rowOff>0</xdr:rowOff>
                  </from>
                  <to>
                    <xdr:col>4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9" name="Scroll Bar 7">
              <controlPr defaultSize="0" autoPict="0">
                <anchor moveWithCells="1">
                  <from>
                    <xdr:col>8</xdr:col>
                    <xdr:colOff>857250</xdr:colOff>
                    <xdr:row>24</xdr:row>
                    <xdr:rowOff>152400</xdr:rowOff>
                  </from>
                  <to>
                    <xdr:col>11</xdr:col>
                    <xdr:colOff>161925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0" name="Scroll Bar 8">
              <controlPr defaultSiz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4</xdr:col>
                    <xdr:colOff>28575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1" name="Scroll Bar 9">
              <controlPr defaultSiz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4</xdr:col>
                    <xdr:colOff>28575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2" name="Scroll Bar 10">
              <controlPr defaultSiz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4</xdr:col>
                    <xdr:colOff>28575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3" name="Scroll Bar 11">
              <controlPr defaultSiz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4</xdr:col>
                    <xdr:colOff>28575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4" name="Scroll Bar 12">
              <controlPr defaultSize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4</xdr:col>
                    <xdr:colOff>28575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5" name="Scroll Bar 13">
              <controlPr defaultSize="0" autoPict="0">
                <anchor moveWithCells="1">
                  <from>
                    <xdr:col>1</xdr:col>
                    <xdr:colOff>876300</xdr:colOff>
                    <xdr:row>34</xdr:row>
                    <xdr:rowOff>0</xdr:rowOff>
                  </from>
                  <to>
                    <xdr:col>4</xdr:col>
                    <xdr:colOff>19050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6" name="Scroll Bar 14">
              <controlPr defaultSize="0" autoPict="0">
                <anchor moveWithCells="1">
                  <from>
                    <xdr:col>1</xdr:col>
                    <xdr:colOff>847725</xdr:colOff>
                    <xdr:row>36</xdr:row>
                    <xdr:rowOff>19050</xdr:rowOff>
                  </from>
                  <to>
                    <xdr:col>3</xdr:col>
                    <xdr:colOff>533400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R45"/>
  <sheetViews>
    <sheetView tabSelected="1" topLeftCell="B1" zoomScale="85" zoomScaleNormal="100" workbookViewId="0">
      <selection activeCell="X31" sqref="X31"/>
    </sheetView>
  </sheetViews>
  <sheetFormatPr defaultRowHeight="12.75" x14ac:dyDescent="0.2"/>
  <cols>
    <col min="1" max="1" width="1.5703125" customWidth="1"/>
    <col min="2" max="2" width="13.28515625" customWidth="1"/>
    <col min="3" max="3" width="6.5703125" customWidth="1"/>
    <col min="4" max="4" width="12.7109375" customWidth="1"/>
    <col min="5" max="5" width="10" customWidth="1"/>
    <col min="7" max="7" width="7.85546875" customWidth="1"/>
    <col min="8" max="8" width="1.42578125" customWidth="1"/>
    <col min="9" max="9" width="13.140625" customWidth="1"/>
    <col min="11" max="11" width="12.28515625" customWidth="1"/>
    <col min="12" max="12" width="18.28515625" customWidth="1"/>
    <col min="14" max="14" width="4.42578125" customWidth="1"/>
    <col min="15" max="15" width="6.28515625" customWidth="1"/>
    <col min="16" max="16" width="18.7109375" customWidth="1"/>
  </cols>
  <sheetData>
    <row r="2" spans="1:18" ht="20.25" x14ac:dyDescent="0.3">
      <c r="B2" s="29" t="s">
        <v>21</v>
      </c>
      <c r="M2">
        <v>195</v>
      </c>
    </row>
    <row r="3" spans="1:18" ht="18" x14ac:dyDescent="0.25">
      <c r="A3" s="10"/>
      <c r="B3" s="23" t="s">
        <v>28</v>
      </c>
      <c r="C3" s="6"/>
      <c r="D3" s="6"/>
      <c r="E3" s="6"/>
      <c r="F3" s="6"/>
      <c r="G3" s="7"/>
      <c r="H3" s="10"/>
      <c r="I3" s="24" t="s">
        <v>26</v>
      </c>
      <c r="J3" s="14"/>
      <c r="K3" s="14"/>
      <c r="L3" s="14"/>
      <c r="M3" s="19"/>
      <c r="N3" s="19"/>
      <c r="O3" s="41"/>
      <c r="P3" s="99"/>
      <c r="Q3" s="99"/>
      <c r="R3" s="40"/>
    </row>
    <row r="4" spans="1:18" x14ac:dyDescent="0.2">
      <c r="A4" s="10"/>
      <c r="B4" s="7"/>
      <c r="C4" s="8"/>
      <c r="D4" s="8"/>
      <c r="E4" s="8"/>
      <c r="F4" s="8"/>
      <c r="G4" s="7"/>
      <c r="H4" s="10"/>
      <c r="I4" s="14"/>
      <c r="J4" s="14"/>
      <c r="K4" s="14"/>
      <c r="L4" s="14"/>
      <c r="M4" s="19"/>
      <c r="N4" s="19"/>
      <c r="O4" s="20"/>
      <c r="P4" s="20"/>
      <c r="Q4" s="20"/>
      <c r="R4" s="40"/>
    </row>
    <row r="5" spans="1:18" x14ac:dyDescent="0.2">
      <c r="A5" s="10"/>
      <c r="B5" s="1"/>
      <c r="C5" s="1"/>
      <c r="D5" s="1"/>
      <c r="E5" s="2" t="s">
        <v>3</v>
      </c>
      <c r="F5" s="2" t="s">
        <v>4</v>
      </c>
      <c r="G5" s="1"/>
      <c r="H5" s="10"/>
      <c r="I5" s="16"/>
      <c r="J5" s="16"/>
      <c r="K5" s="16"/>
      <c r="L5" s="16"/>
      <c r="M5" s="20"/>
      <c r="N5" s="20"/>
      <c r="O5" s="101" t="s">
        <v>13</v>
      </c>
      <c r="P5" s="102">
        <f>IF(C12=0,59800,(IF(C12=1,45000,(IF(C12=2,44000,59998)))))</f>
        <v>44000</v>
      </c>
      <c r="Q5" s="20"/>
      <c r="R5" s="40"/>
    </row>
    <row r="6" spans="1:18" x14ac:dyDescent="0.2">
      <c r="A6" s="10"/>
      <c r="B6" s="45" t="s">
        <v>0</v>
      </c>
      <c r="C6" s="12">
        <v>168</v>
      </c>
      <c r="D6" s="12"/>
      <c r="E6" s="11">
        <f>C6</f>
        <v>168</v>
      </c>
      <c r="F6" s="11">
        <f>C6+273</f>
        <v>441</v>
      </c>
      <c r="G6" s="1"/>
      <c r="H6" s="10"/>
      <c r="I6" s="28" t="s">
        <v>18</v>
      </c>
      <c r="J6" s="28"/>
      <c r="K6" s="17">
        <f>P11</f>
        <v>94.330015888973591</v>
      </c>
      <c r="L6" s="18" t="s">
        <v>19</v>
      </c>
      <c r="M6" s="20"/>
      <c r="N6" s="20"/>
      <c r="O6" s="101" t="s">
        <v>6</v>
      </c>
      <c r="P6" s="102">
        <f>((6460+1.1*E9)/F6)-14</f>
        <v>1.2770975056689338</v>
      </c>
      <c r="Q6" s="20"/>
      <c r="R6" s="40"/>
    </row>
    <row r="7" spans="1:18" x14ac:dyDescent="0.2">
      <c r="A7" s="10"/>
      <c r="B7" s="1"/>
      <c r="C7" s="1"/>
      <c r="D7" s="1"/>
      <c r="E7" s="1"/>
      <c r="F7" s="1"/>
      <c r="G7" s="1"/>
      <c r="H7" s="10"/>
      <c r="I7" s="22"/>
      <c r="J7" s="22"/>
      <c r="K7" s="16"/>
      <c r="L7" s="16"/>
      <c r="M7" s="20"/>
      <c r="N7" s="20"/>
      <c r="O7" s="101" t="s">
        <v>4</v>
      </c>
      <c r="P7" s="102">
        <f>EXP(P6)</f>
        <v>3.5862156344058054</v>
      </c>
      <c r="Q7" s="20"/>
      <c r="R7" s="40"/>
    </row>
    <row r="8" spans="1:18" x14ac:dyDescent="0.2">
      <c r="A8" s="10"/>
      <c r="B8" s="1"/>
      <c r="C8" s="13">
        <v>252</v>
      </c>
      <c r="D8" s="13"/>
      <c r="E8" s="2" t="s">
        <v>5</v>
      </c>
      <c r="F8" s="1"/>
      <c r="G8" s="1"/>
      <c r="H8" s="10"/>
      <c r="I8" s="22"/>
      <c r="J8" s="22"/>
      <c r="K8" s="16"/>
      <c r="L8" s="16"/>
      <c r="M8" s="20"/>
      <c r="N8" s="20"/>
      <c r="O8" s="101" t="s">
        <v>14</v>
      </c>
      <c r="P8" s="104">
        <f>(3.08/P7)+(2*E9)</f>
        <v>504.85884406125797</v>
      </c>
      <c r="Q8" s="105"/>
      <c r="R8" s="40"/>
    </row>
    <row r="9" spans="1:18" x14ac:dyDescent="0.2">
      <c r="A9" s="10"/>
      <c r="B9" s="45" t="s">
        <v>1</v>
      </c>
      <c r="C9" s="12">
        <v>322</v>
      </c>
      <c r="D9" s="12"/>
      <c r="E9" s="35">
        <f>C8</f>
        <v>252</v>
      </c>
      <c r="F9" s="1"/>
      <c r="G9" s="1"/>
      <c r="H9" s="10"/>
      <c r="I9" s="28" t="s">
        <v>20</v>
      </c>
      <c r="J9" s="28"/>
      <c r="K9" s="30">
        <f>IF(P15&lt;60,P15,(IF(P16&lt;60,P16,(IF(P17&lt;24,P17,(IF(P18&lt;365.25,P18,(IF(P19&lt;1000000,P19,"More than a  MILLION Years!")))))))))</f>
        <v>3262.8445406848182</v>
      </c>
      <c r="L9" s="21" t="str">
        <f>IF(P15&lt;60,"seconds",(IF(P16&lt;60,"minutes",(IF(P17&lt;24,"hours",(IF(P18&lt;365.25,"days",(IF(P19&lt;1000000,"years","a Million years!")))))))))</f>
        <v>years</v>
      </c>
      <c r="M9" s="20"/>
      <c r="N9" s="20"/>
      <c r="O9" s="101" t="s">
        <v>15</v>
      </c>
      <c r="P9" s="104">
        <f>SQRT((P8^2)-4*(E9^2))</f>
        <v>29.435563980831024</v>
      </c>
      <c r="Q9" s="105"/>
      <c r="R9" s="40"/>
    </row>
    <row r="10" spans="1:18" x14ac:dyDescent="0.2">
      <c r="A10" s="10"/>
      <c r="B10" s="3"/>
      <c r="C10" s="1"/>
      <c r="D10" s="1"/>
      <c r="E10" s="1"/>
      <c r="F10" s="1"/>
      <c r="G10" s="1"/>
      <c r="H10" s="10"/>
      <c r="I10" s="16"/>
      <c r="J10" s="16"/>
      <c r="K10" s="16" t="str">
        <f>IF(P19&gt;1000000,"Please try again!","")</f>
        <v/>
      </c>
      <c r="L10" s="16"/>
      <c r="M10" s="20"/>
      <c r="N10" s="20"/>
      <c r="O10" s="101" t="s">
        <v>16</v>
      </c>
      <c r="P10" s="104">
        <f>(P8-P9)/2</f>
        <v>237.71164004021347</v>
      </c>
      <c r="Q10" s="105"/>
      <c r="R10" s="40"/>
    </row>
    <row r="11" spans="1:18" x14ac:dyDescent="0.2">
      <c r="A11" s="10"/>
      <c r="B11" s="1"/>
      <c r="C11" s="4">
        <v>150</v>
      </c>
      <c r="D11" s="1"/>
      <c r="E11" s="1"/>
      <c r="F11" s="1"/>
      <c r="G11" s="1"/>
      <c r="H11" s="10"/>
      <c r="I11" s="16"/>
      <c r="J11" s="16"/>
      <c r="K11" s="16"/>
      <c r="L11" s="16"/>
      <c r="M11" s="20"/>
      <c r="N11" s="20"/>
      <c r="O11" s="101" t="s">
        <v>17</v>
      </c>
      <c r="P11" s="104">
        <f>100*(P10/E9)</f>
        <v>94.330015888973591</v>
      </c>
      <c r="Q11" s="105"/>
      <c r="R11" s="40"/>
    </row>
    <row r="12" spans="1:18" x14ac:dyDescent="0.2">
      <c r="A12" s="10"/>
      <c r="B12" s="45" t="s">
        <v>2</v>
      </c>
      <c r="C12" s="46">
        <v>2</v>
      </c>
      <c r="D12" s="47"/>
      <c r="E12" s="35" t="str">
        <f>IF(C12=0,"None",(IF(C12=1,"Iron",(IF(C12=2,"Tungsten","Platnium")))))</f>
        <v>Tungsten</v>
      </c>
      <c r="F12" s="1"/>
      <c r="G12" s="1"/>
      <c r="H12" s="10"/>
      <c r="I12" s="28" t="s">
        <v>44</v>
      </c>
      <c r="J12" s="33"/>
      <c r="K12" s="21">
        <f>E37-0.5</f>
        <v>23.5</v>
      </c>
      <c r="L12" s="21" t="s">
        <v>45</v>
      </c>
      <c r="M12" s="20"/>
      <c r="N12" s="20"/>
      <c r="O12" s="20"/>
      <c r="P12" s="105"/>
      <c r="Q12" s="105"/>
      <c r="R12" s="40"/>
    </row>
    <row r="13" spans="1:18" x14ac:dyDescent="0.2">
      <c r="A13" s="10"/>
      <c r="B13" s="1"/>
      <c r="C13" s="1" t="s">
        <v>6</v>
      </c>
      <c r="D13" s="3" t="s">
        <v>11</v>
      </c>
      <c r="E13" s="1"/>
      <c r="F13" s="1"/>
      <c r="G13" s="1"/>
      <c r="H13" s="10"/>
      <c r="I13" s="16"/>
      <c r="J13" s="16"/>
      <c r="K13" s="16"/>
      <c r="L13" s="16"/>
      <c r="M13" s="20"/>
      <c r="N13" s="20"/>
      <c r="O13" s="102"/>
      <c r="P13" s="104">
        <f>(-P5/(2*F6))</f>
        <v>-49.886621315192741</v>
      </c>
      <c r="Q13" s="104"/>
      <c r="R13" s="40"/>
    </row>
    <row r="14" spans="1:18" x14ac:dyDescent="0.2">
      <c r="A14" s="10"/>
      <c r="B14" s="1"/>
      <c r="C14" s="1"/>
      <c r="D14" s="5" t="s">
        <v>7</v>
      </c>
      <c r="E14" s="1"/>
      <c r="F14" s="1"/>
      <c r="G14" s="1"/>
      <c r="H14" s="10"/>
      <c r="I14" s="16"/>
      <c r="J14" s="16"/>
      <c r="K14" s="16"/>
      <c r="L14" s="16"/>
      <c r="M14" s="20"/>
      <c r="N14" s="20"/>
      <c r="O14" s="101" t="s">
        <v>29</v>
      </c>
      <c r="P14" s="104">
        <f>EXP(P13+30)</f>
        <v>2.3086074834659909E-9</v>
      </c>
      <c r="Q14" s="104"/>
      <c r="R14" s="40"/>
    </row>
    <row r="15" spans="1:18" x14ac:dyDescent="0.2">
      <c r="A15" s="10"/>
      <c r="B15" s="1"/>
      <c r="C15" s="1"/>
      <c r="D15" s="5" t="s">
        <v>8</v>
      </c>
      <c r="E15" s="1" t="s">
        <v>6</v>
      </c>
      <c r="F15" s="1"/>
      <c r="G15" s="1"/>
      <c r="H15" s="10"/>
      <c r="I15" s="28" t="s">
        <v>50</v>
      </c>
      <c r="J15" s="28"/>
      <c r="K15" s="39">
        <f>K12/P17</f>
        <v>8.3759403779235141E-6</v>
      </c>
      <c r="L15" s="21" t="s">
        <v>57</v>
      </c>
      <c r="M15" s="20"/>
      <c r="N15" s="20"/>
      <c r="O15" s="101" t="s">
        <v>30</v>
      </c>
      <c r="P15" s="104">
        <f>P10/P14</f>
        <v>102967542877.11522</v>
      </c>
      <c r="Q15" s="104" t="s">
        <v>31</v>
      </c>
      <c r="R15" s="40"/>
    </row>
    <row r="16" spans="1:18" x14ac:dyDescent="0.2">
      <c r="A16" s="10"/>
      <c r="B16" s="1" t="s">
        <v>6</v>
      </c>
      <c r="C16" s="1"/>
      <c r="D16" s="5" t="s">
        <v>9</v>
      </c>
      <c r="E16" s="1" t="s">
        <v>6</v>
      </c>
      <c r="F16" s="1"/>
      <c r="G16" s="1"/>
      <c r="H16" s="10"/>
      <c r="I16" s="16"/>
      <c r="J16" s="16"/>
      <c r="K16" s="16"/>
      <c r="L16" s="16"/>
      <c r="M16" s="20"/>
      <c r="N16" s="20"/>
      <c r="O16" s="102"/>
      <c r="P16" s="104">
        <f>P15/60</f>
        <v>1716125714.618587</v>
      </c>
      <c r="Q16" s="104" t="s">
        <v>32</v>
      </c>
      <c r="R16" s="40"/>
    </row>
    <row r="17" spans="1:18" x14ac:dyDescent="0.2">
      <c r="A17" s="10"/>
      <c r="B17" s="1"/>
      <c r="C17" s="1"/>
      <c r="D17" s="5" t="s">
        <v>10</v>
      </c>
      <c r="E17" s="3" t="str">
        <f>IF(C12=3,"Much too expensive","")</f>
        <v/>
      </c>
      <c r="F17" s="3"/>
      <c r="G17" s="3"/>
      <c r="H17" s="10"/>
      <c r="I17" s="16"/>
      <c r="J17" s="16"/>
      <c r="K17" s="16"/>
      <c r="L17" s="16"/>
      <c r="M17" s="20"/>
      <c r="N17" s="20"/>
      <c r="O17" s="102"/>
      <c r="P17" s="104">
        <f>P15/36700</f>
        <v>2805655.1192674446</v>
      </c>
      <c r="Q17" s="104" t="s">
        <v>33</v>
      </c>
      <c r="R17" s="40"/>
    </row>
    <row r="18" spans="1:18" x14ac:dyDescent="0.2">
      <c r="A18" s="10"/>
      <c r="B18" s="1"/>
      <c r="C18" s="1"/>
      <c r="D18" s="1"/>
      <c r="E18" s="3" t="str">
        <f>IF(C12=3,"Please Try Something else!",""  )</f>
        <v/>
      </c>
      <c r="F18" s="3"/>
      <c r="G18" s="3"/>
      <c r="H18" s="10"/>
      <c r="I18" s="16"/>
      <c r="J18" s="16"/>
      <c r="K18" s="16"/>
      <c r="L18" s="16"/>
      <c r="M18" s="20"/>
      <c r="N18" s="20"/>
      <c r="O18" s="102"/>
      <c r="P18" s="104">
        <f>P15/(3600*24)</f>
        <v>1191753.9684851298</v>
      </c>
      <c r="Q18" s="104" t="s">
        <v>34</v>
      </c>
      <c r="R18" s="40"/>
    </row>
    <row r="19" spans="1:18" x14ac:dyDescent="0.2">
      <c r="A19" s="10"/>
      <c r="B19" s="1"/>
      <c r="C19" s="1"/>
      <c r="D19" s="1"/>
      <c r="E19" s="1"/>
      <c r="F19" s="1"/>
      <c r="G19" s="1"/>
      <c r="H19" s="10"/>
      <c r="I19" s="16"/>
      <c r="J19" s="16"/>
      <c r="K19" s="16"/>
      <c r="L19" s="16"/>
      <c r="M19" s="20"/>
      <c r="N19" s="20"/>
      <c r="O19" s="102"/>
      <c r="P19" s="104">
        <f>P15/(3600*24*365.25)</f>
        <v>3262.8445406848182</v>
      </c>
      <c r="Q19" s="104" t="s">
        <v>35</v>
      </c>
      <c r="R19" s="40"/>
    </row>
    <row r="20" spans="1:18" ht="18" x14ac:dyDescent="0.25">
      <c r="A20" s="10"/>
      <c r="B20" s="27" t="s">
        <v>12</v>
      </c>
      <c r="C20" s="9"/>
      <c r="D20" s="9"/>
      <c r="E20" s="9"/>
      <c r="F20" s="9"/>
      <c r="G20" s="9"/>
      <c r="H20" s="10"/>
      <c r="I20" s="24" t="s">
        <v>25</v>
      </c>
      <c r="J20" s="14"/>
      <c r="K20" s="14"/>
      <c r="L20" s="14"/>
      <c r="M20" s="19"/>
      <c r="N20" s="19"/>
      <c r="O20" s="20"/>
      <c r="P20" s="105"/>
      <c r="Q20" s="105"/>
      <c r="R20" s="40"/>
    </row>
    <row r="21" spans="1:18" x14ac:dyDescent="0.2">
      <c r="A21" s="10"/>
      <c r="B21" s="9"/>
      <c r="C21" s="9"/>
      <c r="D21" s="9"/>
      <c r="E21" s="9"/>
      <c r="F21" s="9"/>
      <c r="G21" s="9"/>
      <c r="H21" s="10"/>
      <c r="I21" s="14"/>
      <c r="J21" s="14"/>
      <c r="K21" s="14"/>
      <c r="L21" s="14"/>
      <c r="M21" s="19"/>
      <c r="N21" s="19"/>
      <c r="O21" s="20"/>
      <c r="P21" s="20"/>
      <c r="Q21" s="20"/>
    </row>
    <row r="22" spans="1:18" x14ac:dyDescent="0.2">
      <c r="A22" s="10"/>
      <c r="B22" s="1"/>
      <c r="C22" s="1"/>
      <c r="D22" s="1"/>
      <c r="E22" s="2" t="s">
        <v>24</v>
      </c>
      <c r="F22" s="1"/>
      <c r="G22" s="1"/>
      <c r="H22" s="10"/>
      <c r="I22" s="16"/>
      <c r="J22" s="16"/>
      <c r="K22" s="16"/>
      <c r="L22" s="16"/>
      <c r="M22" s="20"/>
      <c r="N22" s="20"/>
      <c r="O22" s="20"/>
      <c r="P22" s="20"/>
      <c r="Q22" s="20"/>
    </row>
    <row r="23" spans="1:18" x14ac:dyDescent="0.2">
      <c r="B23" s="45" t="s">
        <v>37</v>
      </c>
      <c r="C23" s="12"/>
      <c r="D23" s="12"/>
      <c r="E23" s="26">
        <v>18</v>
      </c>
      <c r="F23" s="10" t="s">
        <v>27</v>
      </c>
      <c r="G23" s="1"/>
      <c r="H23" s="10"/>
      <c r="I23" s="28" t="s">
        <v>22</v>
      </c>
      <c r="J23" s="15"/>
      <c r="K23" s="15"/>
      <c r="L23" s="31">
        <v>363</v>
      </c>
      <c r="M23" s="11" t="s">
        <v>27</v>
      </c>
      <c r="N23" s="1"/>
      <c r="O23" s="20"/>
      <c r="P23" s="20"/>
      <c r="Q23" s="20"/>
    </row>
    <row r="24" spans="1:18" x14ac:dyDescent="0.2">
      <c r="B24" s="1"/>
      <c r="C24" s="1"/>
      <c r="D24" s="1"/>
      <c r="E24" s="25"/>
      <c r="F24" s="1"/>
      <c r="G24" s="1"/>
      <c r="H24" s="10"/>
      <c r="I24" s="28" t="s">
        <v>23</v>
      </c>
      <c r="J24" s="15"/>
      <c r="K24" s="15"/>
      <c r="L24" s="15"/>
      <c r="M24" s="15"/>
      <c r="N24" s="15"/>
      <c r="O24" s="20"/>
      <c r="P24" s="20"/>
      <c r="Q24" s="20"/>
    </row>
    <row r="25" spans="1:18" x14ac:dyDescent="0.2">
      <c r="B25" s="45" t="s">
        <v>0</v>
      </c>
      <c r="C25" s="1"/>
      <c r="D25" s="1"/>
      <c r="E25" s="31">
        <v>162</v>
      </c>
      <c r="F25" s="10" t="s">
        <v>27</v>
      </c>
      <c r="G25" s="1"/>
      <c r="H25" s="10"/>
      <c r="I25" s="15"/>
      <c r="J25" s="15"/>
      <c r="K25" s="15"/>
      <c r="L25" s="15"/>
      <c r="M25" s="15"/>
      <c r="N25" s="15"/>
      <c r="O25" s="20"/>
      <c r="P25" s="20"/>
      <c r="Q25" s="20"/>
    </row>
    <row r="26" spans="1:18" x14ac:dyDescent="0.2">
      <c r="B26" s="1" t="s">
        <v>6</v>
      </c>
      <c r="C26" s="1"/>
      <c r="D26" s="1"/>
      <c r="E26" s="25"/>
      <c r="F26" s="1"/>
      <c r="G26" s="1"/>
      <c r="H26" s="10"/>
      <c r="I26" s="28" t="s">
        <v>51</v>
      </c>
      <c r="J26" s="15"/>
      <c r="K26" s="15">
        <v>3715</v>
      </c>
      <c r="L26" s="11">
        <f>K26</f>
        <v>3715</v>
      </c>
      <c r="M26" s="11" t="s">
        <v>43</v>
      </c>
      <c r="N26" s="15"/>
      <c r="O26" s="20"/>
      <c r="P26" s="20"/>
      <c r="Q26" s="20"/>
    </row>
    <row r="27" spans="1:18" x14ac:dyDescent="0.2">
      <c r="B27" s="45" t="s">
        <v>1</v>
      </c>
      <c r="C27" s="12"/>
      <c r="D27" s="12"/>
      <c r="E27" s="34">
        <v>19</v>
      </c>
      <c r="F27" s="10" t="s">
        <v>27</v>
      </c>
      <c r="G27" s="1"/>
      <c r="H27" s="10"/>
      <c r="I27" s="15"/>
      <c r="J27" s="15"/>
      <c r="K27" s="15"/>
      <c r="L27" s="15"/>
      <c r="M27" s="15"/>
      <c r="N27" s="15"/>
      <c r="O27" s="20"/>
      <c r="P27" s="20"/>
      <c r="Q27" s="20"/>
    </row>
    <row r="28" spans="1:18" x14ac:dyDescent="0.2">
      <c r="B28" s="3" t="s">
        <v>6</v>
      </c>
      <c r="C28" s="1"/>
      <c r="D28" s="1"/>
      <c r="E28" s="25"/>
      <c r="F28" s="1"/>
      <c r="G28" s="1"/>
      <c r="H28" s="10"/>
      <c r="I28" s="28" t="s">
        <v>59</v>
      </c>
      <c r="J28" s="37"/>
      <c r="K28" s="28" t="s">
        <v>42</v>
      </c>
      <c r="L28" s="36">
        <f>MIN((L23*K15),(L26*L23))</f>
        <v>3.0404663571862358E-3</v>
      </c>
      <c r="M28" s="11" t="s">
        <v>52</v>
      </c>
      <c r="N28" s="15"/>
      <c r="O28" s="20"/>
      <c r="P28" s="20"/>
      <c r="Q28" s="20"/>
    </row>
    <row r="29" spans="1:18" x14ac:dyDescent="0.2">
      <c r="B29" s="45" t="s">
        <v>38</v>
      </c>
      <c r="C29" s="12" t="s">
        <v>6</v>
      </c>
      <c r="D29" s="12">
        <v>30</v>
      </c>
      <c r="E29" s="34">
        <f>IF(C12=3,(1500*G29),(IF(C12=2,(10*G29),(IF(C12=1,(1.5*G29),0)))))</f>
        <v>30</v>
      </c>
      <c r="F29" s="10" t="s">
        <v>27</v>
      </c>
      <c r="G29" s="32">
        <f>D29/10</f>
        <v>3</v>
      </c>
      <c r="H29" s="10"/>
      <c r="I29" s="22" t="s">
        <v>6</v>
      </c>
      <c r="J29" s="15"/>
      <c r="K29" s="28" t="s">
        <v>60</v>
      </c>
      <c r="L29" s="39">
        <f>MIN(L26,K15)</f>
        <v>8.3759403779235141E-6</v>
      </c>
      <c r="M29" s="21" t="s">
        <v>58</v>
      </c>
      <c r="N29" s="15"/>
      <c r="O29" s="20"/>
      <c r="P29" s="20"/>
      <c r="Q29" s="20"/>
    </row>
    <row r="30" spans="1:18" x14ac:dyDescent="0.2">
      <c r="B30" s="3" t="s">
        <v>6</v>
      </c>
      <c r="C30" s="1"/>
      <c r="D30" s="1"/>
      <c r="E30" s="25"/>
      <c r="F30" s="1"/>
      <c r="G30" s="1"/>
      <c r="H30" s="10"/>
      <c r="I30" s="22" t="s">
        <v>6</v>
      </c>
      <c r="J30" s="15"/>
      <c r="K30" s="15"/>
      <c r="L30" s="15"/>
      <c r="M30" s="15"/>
      <c r="N30" s="15"/>
      <c r="O30" s="20"/>
      <c r="P30" s="20"/>
      <c r="Q30" s="20"/>
    </row>
    <row r="31" spans="1:18" x14ac:dyDescent="0.2">
      <c r="B31" s="45" t="s">
        <v>36</v>
      </c>
      <c r="C31" s="12" t="s">
        <v>6</v>
      </c>
      <c r="D31" s="12">
        <v>16675</v>
      </c>
      <c r="E31" s="34">
        <f>D31*2</f>
        <v>33350</v>
      </c>
      <c r="F31" s="10" t="s">
        <v>46</v>
      </c>
      <c r="G31" s="1"/>
      <c r="H31" s="10"/>
      <c r="I31" s="15"/>
      <c r="J31" s="15"/>
      <c r="K31" s="15"/>
      <c r="L31" s="15"/>
      <c r="M31" s="15"/>
      <c r="N31" s="15"/>
      <c r="O31" s="20"/>
      <c r="P31" s="20"/>
      <c r="Q31" s="20"/>
    </row>
    <row r="32" spans="1:18" x14ac:dyDescent="0.2">
      <c r="B32" s="3" t="s">
        <v>6</v>
      </c>
      <c r="C32" s="1"/>
      <c r="D32" s="1"/>
      <c r="E32" s="25"/>
      <c r="F32" s="1"/>
      <c r="G32" s="1"/>
      <c r="H32" s="10"/>
      <c r="I32" s="28" t="s">
        <v>56</v>
      </c>
      <c r="J32" s="28"/>
      <c r="K32" s="37"/>
      <c r="L32" s="31">
        <f>K15*(SUM(E23,E25,E27,E29,))</f>
        <v>1.9180903465444846E-3</v>
      </c>
      <c r="M32" s="10" t="s">
        <v>46</v>
      </c>
      <c r="N32" s="15"/>
      <c r="O32" s="20"/>
      <c r="P32" s="20"/>
      <c r="Q32" s="20"/>
    </row>
    <row r="33" spans="1:17" x14ac:dyDescent="0.2">
      <c r="B33" s="45" t="s">
        <v>39</v>
      </c>
      <c r="C33" s="12" t="s">
        <v>6</v>
      </c>
      <c r="D33" s="12"/>
      <c r="E33" s="34">
        <v>25</v>
      </c>
      <c r="F33" s="10" t="s">
        <v>47</v>
      </c>
      <c r="G33" s="44">
        <f>(IF(E37&gt;16,24,(IF(E37&gt;8,16,8))))*15</f>
        <v>360</v>
      </c>
      <c r="H33" s="10"/>
      <c r="I33" s="22" t="s">
        <v>6</v>
      </c>
      <c r="J33" s="15"/>
      <c r="K33" s="15"/>
      <c r="L33" s="26">
        <f>SUM(E23,E25,E27,E29,)</f>
        <v>229</v>
      </c>
      <c r="M33" s="10" t="s">
        <v>27</v>
      </c>
      <c r="N33" s="15"/>
      <c r="O33" s="20"/>
      <c r="P33" s="20"/>
      <c r="Q33" s="20"/>
    </row>
    <row r="34" spans="1:17" x14ac:dyDescent="0.2">
      <c r="B34" s="3" t="s">
        <v>6</v>
      </c>
      <c r="C34" s="1"/>
      <c r="D34" s="1"/>
      <c r="E34" s="25"/>
      <c r="F34" s="1"/>
      <c r="G34" s="1"/>
      <c r="H34" s="10"/>
      <c r="I34" s="15"/>
      <c r="J34" s="15"/>
      <c r="K34" s="15"/>
      <c r="L34" s="15"/>
      <c r="M34" s="15"/>
      <c r="N34" s="15"/>
      <c r="O34" s="20"/>
      <c r="P34" s="20"/>
      <c r="Q34" s="20"/>
    </row>
    <row r="35" spans="1:17" x14ac:dyDescent="0.2">
      <c r="B35" s="45" t="s">
        <v>40</v>
      </c>
      <c r="C35" s="12" t="s">
        <v>6</v>
      </c>
      <c r="D35" s="12">
        <v>43</v>
      </c>
      <c r="E35" s="34">
        <f>D35/4</f>
        <v>10.75</v>
      </c>
      <c r="F35" s="10" t="s">
        <v>27</v>
      </c>
      <c r="G35" s="1"/>
      <c r="H35" s="10"/>
      <c r="I35" s="28" t="s">
        <v>55</v>
      </c>
      <c r="J35" s="28" t="s">
        <v>6</v>
      </c>
      <c r="K35" s="37"/>
      <c r="L35" s="31">
        <f>MAX(0,((K15-L26)*E35))</f>
        <v>0</v>
      </c>
      <c r="M35" s="10" t="s">
        <v>46</v>
      </c>
      <c r="N35" s="15"/>
      <c r="O35" s="20"/>
      <c r="P35" s="20"/>
      <c r="Q35" s="20"/>
    </row>
    <row r="36" spans="1:17" x14ac:dyDescent="0.2">
      <c r="B36" s="1" t="s">
        <v>6</v>
      </c>
      <c r="C36" s="1"/>
      <c r="D36" s="1"/>
      <c r="E36" s="1"/>
      <c r="F36" s="1"/>
      <c r="G36" s="1"/>
      <c r="H36" s="10"/>
      <c r="I36" s="15" t="s">
        <v>6</v>
      </c>
      <c r="J36" s="15"/>
      <c r="K36" s="15"/>
      <c r="L36" s="15"/>
      <c r="M36" s="15"/>
      <c r="N36" s="15"/>
      <c r="O36" s="20"/>
      <c r="P36" s="20"/>
      <c r="Q36" s="20"/>
    </row>
    <row r="37" spans="1:17" x14ac:dyDescent="0.2">
      <c r="B37" s="45" t="s">
        <v>48</v>
      </c>
      <c r="C37" s="1"/>
      <c r="D37" s="1">
        <v>7</v>
      </c>
      <c r="E37" s="10">
        <v>24</v>
      </c>
      <c r="F37" s="10" t="s">
        <v>49</v>
      </c>
      <c r="G37" s="1"/>
      <c r="H37" s="10"/>
      <c r="I37" s="15"/>
      <c r="J37" s="15"/>
      <c r="K37" s="15"/>
      <c r="L37" s="15"/>
      <c r="M37" s="15"/>
      <c r="N37" s="15"/>
      <c r="O37" s="20"/>
      <c r="P37" s="20"/>
      <c r="Q37" s="20"/>
    </row>
    <row r="38" spans="1:17" x14ac:dyDescent="0.2">
      <c r="B38" s="1" t="s">
        <v>6</v>
      </c>
      <c r="C38" s="1"/>
      <c r="D38" s="1"/>
      <c r="E38" s="1"/>
      <c r="F38" s="1"/>
      <c r="G38" s="1"/>
      <c r="H38" s="10"/>
      <c r="I38" s="28" t="s">
        <v>54</v>
      </c>
      <c r="J38" s="28"/>
      <c r="K38" s="37"/>
      <c r="L38" s="26">
        <f>E31+(G33*E33)</f>
        <v>42350</v>
      </c>
      <c r="M38" s="10" t="s">
        <v>46</v>
      </c>
      <c r="N38" s="15"/>
      <c r="O38" s="20"/>
      <c r="P38" s="20"/>
      <c r="Q38" s="20"/>
    </row>
    <row r="39" spans="1:17" x14ac:dyDescent="0.2">
      <c r="B39" s="1" t="s">
        <v>6</v>
      </c>
      <c r="C39" s="1"/>
      <c r="D39" s="1"/>
      <c r="E39" s="1"/>
      <c r="F39" s="1"/>
      <c r="G39" s="1"/>
      <c r="H39" s="10"/>
      <c r="I39" s="15"/>
      <c r="J39" s="15"/>
      <c r="K39" s="15"/>
      <c r="L39" s="15"/>
      <c r="M39" s="15"/>
      <c r="N39" s="15"/>
      <c r="O39" s="20"/>
      <c r="P39" s="20"/>
      <c r="Q39" s="20"/>
    </row>
    <row r="40" spans="1:17" x14ac:dyDescent="0.2">
      <c r="A40" s="41"/>
      <c r="B40" s="41"/>
      <c r="C40" s="41"/>
      <c r="D40" s="41"/>
      <c r="E40" s="41"/>
      <c r="F40" s="41"/>
      <c r="G40" s="41"/>
      <c r="H40" s="10"/>
      <c r="I40" s="28" t="s">
        <v>53</v>
      </c>
      <c r="J40" s="28"/>
      <c r="K40" s="37"/>
      <c r="L40" s="26">
        <f>L32+L35+L38</f>
        <v>42350.001918090347</v>
      </c>
      <c r="M40" s="10" t="s">
        <v>46</v>
      </c>
      <c r="N40" s="15"/>
      <c r="O40" s="15"/>
      <c r="P40" s="15"/>
      <c r="Q40" s="15"/>
    </row>
    <row r="41" spans="1:17" x14ac:dyDescent="0.2">
      <c r="A41" s="41"/>
      <c r="B41" s="41"/>
      <c r="C41" s="41"/>
      <c r="D41" s="41"/>
      <c r="E41" s="41"/>
      <c r="F41" s="41"/>
      <c r="G41" s="41"/>
      <c r="H41" s="10"/>
      <c r="I41" s="15"/>
      <c r="J41" s="15"/>
      <c r="K41" s="15"/>
      <c r="L41" s="15"/>
      <c r="M41" s="15"/>
      <c r="N41" s="15"/>
      <c r="O41" s="15"/>
      <c r="P41" s="15"/>
      <c r="Q41" s="15"/>
    </row>
    <row r="42" spans="1:17" x14ac:dyDescent="0.2">
      <c r="A42" s="41"/>
      <c r="B42" s="41"/>
      <c r="C42" s="41"/>
      <c r="D42" s="41"/>
      <c r="E42" s="41"/>
      <c r="F42" s="41"/>
      <c r="G42" s="41"/>
      <c r="H42" s="10"/>
      <c r="I42" s="28" t="s">
        <v>41</v>
      </c>
      <c r="J42" s="28"/>
      <c r="K42" s="37"/>
      <c r="L42" s="38">
        <f>L28-L40</f>
        <v>-42349.998877623992</v>
      </c>
      <c r="M42" s="10" t="s">
        <v>46</v>
      </c>
      <c r="N42" s="15"/>
      <c r="O42" s="15"/>
      <c r="P42" s="15"/>
      <c r="Q42" s="15"/>
    </row>
    <row r="43" spans="1:17" x14ac:dyDescent="0.2">
      <c r="A43" s="41"/>
      <c r="B43" s="41"/>
      <c r="C43" s="41"/>
      <c r="D43" s="41"/>
      <c r="E43" s="41"/>
      <c r="F43" s="41"/>
      <c r="G43" s="41"/>
      <c r="H43" s="10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2">
      <c r="A44" s="10"/>
      <c r="B44" s="10"/>
      <c r="C44" s="41">
        <v>0</v>
      </c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</row>
    <row r="45" spans="1:17" x14ac:dyDescent="0.2">
      <c r="H45" s="10"/>
    </row>
  </sheetData>
  <phoneticPr fontId="4" type="noConversion"/>
  <pageMargins left="0.75" right="0.75" top="1" bottom="1" header="0.5" footer="0.5"/>
  <pageSetup scale="65" orientation="portrait" horizontalDpi="300" verticalDpi="300" r:id="rId1"/>
  <headerFooter alignWithMargins="0">
    <oddHeader>&amp;LUser&amp;CPage &amp;P&amp;R&amp;D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Scroll Bar 4">
              <controlPr defaultSize="0" autoPict="0">
                <anchor moveWithCells="1">
                  <from>
                    <xdr:col>2</xdr:col>
                    <xdr:colOff>95250</xdr:colOff>
                    <xdr:row>12</xdr:row>
                    <xdr:rowOff>9525</xdr:rowOff>
                  </from>
                  <to>
                    <xdr:col>2</xdr:col>
                    <xdr:colOff>276225</xdr:colOff>
                    <xdr:row>18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5" r:id="rId5" name="Scroll Bar 1">
              <controlPr defaultSize="0" autoPict="0">
                <anchor moveWithCells="1">
                  <from>
                    <xdr:col>2</xdr:col>
                    <xdr:colOff>0</xdr:colOff>
                    <xdr:row>5</xdr:row>
                    <xdr:rowOff>9525</xdr:rowOff>
                  </from>
                  <to>
                    <xdr:col>4</xdr:col>
                    <xdr:colOff>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Scroll Bar 2">
              <controlPr defaultSize="0" autoPict="0">
                <anchor moveWithCells="1">
                  <from>
                    <xdr:col>2</xdr:col>
                    <xdr:colOff>19050</xdr:colOff>
                    <xdr:row>8</xdr:row>
                    <xdr:rowOff>0</xdr:rowOff>
                  </from>
                  <to>
                    <xdr:col>4</xdr:col>
                    <xdr:colOff>19050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Scroll Bar 8">
              <controlPr defaultSize="0" autoPict="0">
                <anchor moveWithCells="1">
                  <from>
                    <xdr:col>9</xdr:col>
                    <xdr:colOff>19050</xdr:colOff>
                    <xdr:row>22</xdr:row>
                    <xdr:rowOff>0</xdr:rowOff>
                  </from>
                  <to>
                    <xdr:col>10</xdr:col>
                    <xdr:colOff>809625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Scroll Bar 9">
              <controlPr defaultSize="0" autoPict="0">
                <anchor moveWithCells="1">
                  <from>
                    <xdr:col>1</xdr:col>
                    <xdr:colOff>876300</xdr:colOff>
                    <xdr:row>22</xdr:row>
                    <xdr:rowOff>0</xdr:rowOff>
                  </from>
                  <to>
                    <xdr:col>3</xdr:col>
                    <xdr:colOff>838200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Scroll Bar 10">
              <controlPr defaultSize="0" autoPict="0">
                <anchor moveWithCells="1">
                  <from>
                    <xdr:col>8</xdr:col>
                    <xdr:colOff>857250</xdr:colOff>
                    <xdr:row>24</xdr:row>
                    <xdr:rowOff>152400</xdr:rowOff>
                  </from>
                  <to>
                    <xdr:col>10</xdr:col>
                    <xdr:colOff>809625</xdr:colOff>
                    <xdr:row>25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0" name="Scroll Bar 12">
              <controlPr defaultSize="0" autoPict="0">
                <anchor moveWithCells="1">
                  <from>
                    <xdr:col>2</xdr:col>
                    <xdr:colOff>0</xdr:colOff>
                    <xdr:row>24</xdr:row>
                    <xdr:rowOff>0</xdr:rowOff>
                  </from>
                  <to>
                    <xdr:col>4</xdr:col>
                    <xdr:colOff>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1" name="Scroll Bar 13">
              <controlPr defaultSize="0" autoPict="0">
                <anchor moveWithCells="1">
                  <from>
                    <xdr:col>2</xdr:col>
                    <xdr:colOff>0</xdr:colOff>
                    <xdr:row>26</xdr:row>
                    <xdr:rowOff>0</xdr:rowOff>
                  </from>
                  <to>
                    <xdr:col>4</xdr:col>
                    <xdr:colOff>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2" name="Scroll Bar 14">
              <controlPr defaultSize="0" autoPict="0">
                <anchor moveWithCells="1">
                  <from>
                    <xdr:col>2</xdr:col>
                    <xdr:colOff>0</xdr:colOff>
                    <xdr:row>28</xdr:row>
                    <xdr:rowOff>0</xdr:rowOff>
                  </from>
                  <to>
                    <xdr:col>4</xdr:col>
                    <xdr:colOff>0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3" name="Scroll Bar 15">
              <controlPr defaultSize="0" autoPict="0">
                <anchor moveWithCells="1">
                  <from>
                    <xdr:col>2</xdr:col>
                    <xdr:colOff>0</xdr:colOff>
                    <xdr:row>30</xdr:row>
                    <xdr:rowOff>0</xdr:rowOff>
                  </from>
                  <to>
                    <xdr:col>4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4" name="Scroll Bar 16">
              <controlPr defaultSize="0" autoPict="0">
                <anchor moveWithCells="1">
                  <from>
                    <xdr:col>2</xdr:col>
                    <xdr:colOff>0</xdr:colOff>
                    <xdr:row>32</xdr:row>
                    <xdr:rowOff>0</xdr:rowOff>
                  </from>
                  <to>
                    <xdr:col>4</xdr:col>
                    <xdr:colOff>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5" name="Scroll Bar 17">
              <controlPr defaultSize="0" autoPict="0">
                <anchor moveWithCells="1">
                  <from>
                    <xdr:col>1</xdr:col>
                    <xdr:colOff>876300</xdr:colOff>
                    <xdr:row>34</xdr:row>
                    <xdr:rowOff>0</xdr:rowOff>
                  </from>
                  <to>
                    <xdr:col>3</xdr:col>
                    <xdr:colOff>838200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Scroll Bar 18">
              <controlPr defaultSize="0" autoPict="0">
                <anchor moveWithCells="1">
                  <from>
                    <xdr:col>1</xdr:col>
                    <xdr:colOff>847725</xdr:colOff>
                    <xdr:row>36</xdr:row>
                    <xdr:rowOff>19050</xdr:rowOff>
                  </from>
                  <to>
                    <xdr:col>3</xdr:col>
                    <xdr:colOff>809625</xdr:colOff>
                    <xdr:row>37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44"/>
  <sheetViews>
    <sheetView topLeftCell="B4" zoomScale="85" zoomScaleNormal="100" workbookViewId="0">
      <selection activeCell="P37" sqref="P37"/>
    </sheetView>
  </sheetViews>
  <sheetFormatPr defaultRowHeight="12.75" x14ac:dyDescent="0.2"/>
  <cols>
    <col min="1" max="1" width="1.5703125" customWidth="1"/>
    <col min="2" max="2" width="13.28515625" customWidth="1"/>
    <col min="3" max="3" width="6.5703125" customWidth="1"/>
    <col min="4" max="4" width="12.7109375" customWidth="1"/>
    <col min="5" max="5" width="10" customWidth="1"/>
    <col min="7" max="7" width="7.85546875" customWidth="1"/>
    <col min="8" max="8" width="1.42578125" customWidth="1"/>
    <col min="9" max="9" width="13.140625" customWidth="1"/>
    <col min="11" max="11" width="12.28515625" customWidth="1"/>
    <col min="12" max="12" width="18.28515625" customWidth="1"/>
    <col min="14" max="14" width="4.42578125" customWidth="1"/>
    <col min="15" max="15" width="6.28515625" customWidth="1"/>
    <col min="16" max="16" width="25.28515625" customWidth="1"/>
  </cols>
  <sheetData>
    <row r="1" spans="1:18" ht="20.25" x14ac:dyDescent="0.3">
      <c r="B1" s="29" t="s">
        <v>21</v>
      </c>
      <c r="M1">
        <v>195</v>
      </c>
    </row>
    <row r="2" spans="1:18" ht="18" x14ac:dyDescent="0.25">
      <c r="A2" s="10"/>
      <c r="B2" s="23" t="s">
        <v>28</v>
      </c>
      <c r="C2" s="6"/>
      <c r="D2" s="6"/>
      <c r="E2" s="6"/>
      <c r="F2" s="6"/>
      <c r="G2" s="7"/>
      <c r="H2" s="10"/>
      <c r="I2" s="24" t="s">
        <v>26</v>
      </c>
      <c r="J2" s="14"/>
      <c r="K2" s="14"/>
      <c r="L2" s="14"/>
      <c r="M2" s="19"/>
      <c r="N2" s="19"/>
      <c r="O2" s="41"/>
      <c r="P2" s="41"/>
      <c r="Q2" s="41"/>
      <c r="R2" s="40"/>
    </row>
    <row r="3" spans="1:18" x14ac:dyDescent="0.2">
      <c r="A3" s="10"/>
      <c r="B3" s="7"/>
      <c r="C3" s="6"/>
      <c r="D3" s="6"/>
      <c r="E3" s="6"/>
      <c r="F3" s="6"/>
      <c r="G3" s="7"/>
      <c r="H3" s="10"/>
      <c r="I3" s="14"/>
      <c r="J3" s="14"/>
      <c r="K3" s="14"/>
      <c r="L3" s="14"/>
      <c r="M3" s="19"/>
      <c r="N3" s="19"/>
      <c r="O3" s="41"/>
      <c r="P3" s="99"/>
      <c r="Q3" s="99"/>
      <c r="R3" s="40"/>
    </row>
    <row r="4" spans="1:18" x14ac:dyDescent="0.2">
      <c r="A4" s="10"/>
      <c r="B4" s="1"/>
      <c r="C4" s="1"/>
      <c r="D4" s="1"/>
      <c r="E4" s="2" t="s">
        <v>3</v>
      </c>
      <c r="F4" s="2" t="s">
        <v>4</v>
      </c>
      <c r="G4" s="1"/>
      <c r="H4" s="10"/>
      <c r="I4" s="16"/>
      <c r="J4" s="16"/>
      <c r="K4" s="16"/>
      <c r="L4" s="16"/>
      <c r="M4" s="20"/>
      <c r="N4" s="20"/>
      <c r="O4" s="42" t="s">
        <v>13</v>
      </c>
      <c r="P4" s="100">
        <f>IF(C11=0,59800,(IF(C11=1,45000,(IF(C11=2,44000,59998)))))</f>
        <v>44000</v>
      </c>
      <c r="Q4" s="99"/>
      <c r="R4" s="40"/>
    </row>
    <row r="5" spans="1:18" x14ac:dyDescent="0.2">
      <c r="A5" s="10"/>
      <c r="B5" s="45" t="s">
        <v>0</v>
      </c>
      <c r="C5" s="12">
        <v>325</v>
      </c>
      <c r="D5" s="12"/>
      <c r="E5" s="11">
        <f>C5</f>
        <v>325</v>
      </c>
      <c r="F5" s="11">
        <f>C5+273</f>
        <v>598</v>
      </c>
      <c r="G5" s="1"/>
      <c r="H5" s="10"/>
      <c r="I5" s="28" t="s">
        <v>18</v>
      </c>
      <c r="J5" s="28"/>
      <c r="K5" s="17">
        <f>P10</f>
        <v>74.084057351616423</v>
      </c>
      <c r="L5" s="18" t="s">
        <v>19</v>
      </c>
      <c r="M5" s="20"/>
      <c r="N5" s="20"/>
      <c r="O5" s="42" t="s">
        <v>6</v>
      </c>
      <c r="P5" s="100">
        <f>((6460+1.1*E8)/F5)-14</f>
        <v>-2.4633779264214049</v>
      </c>
      <c r="Q5" s="99"/>
      <c r="R5" s="40"/>
    </row>
    <row r="6" spans="1:18" x14ac:dyDescent="0.2">
      <c r="A6" s="10"/>
      <c r="B6" s="1"/>
      <c r="C6" s="1"/>
      <c r="D6" s="1"/>
      <c r="E6" s="1"/>
      <c r="F6" s="1"/>
      <c r="G6" s="1"/>
      <c r="H6" s="10"/>
      <c r="I6" s="22"/>
      <c r="J6" s="22"/>
      <c r="K6" s="16"/>
      <c r="L6" s="16"/>
      <c r="M6" s="20"/>
      <c r="N6" s="20"/>
      <c r="O6" s="42" t="s">
        <v>4</v>
      </c>
      <c r="P6" s="100">
        <f>EXP(P5)</f>
        <v>8.514684486369721E-2</v>
      </c>
      <c r="Q6" s="99"/>
      <c r="R6" s="40"/>
    </row>
    <row r="7" spans="1:18" x14ac:dyDescent="0.2">
      <c r="A7" s="10"/>
      <c r="B7" s="1"/>
      <c r="C7" s="13">
        <v>399</v>
      </c>
      <c r="D7" s="13"/>
      <c r="E7" s="2" t="s">
        <v>5</v>
      </c>
      <c r="F7" s="1"/>
      <c r="G7" s="1"/>
      <c r="H7" s="10"/>
      <c r="I7" s="22"/>
      <c r="J7" s="22"/>
      <c r="K7" s="16"/>
      <c r="L7" s="16"/>
      <c r="M7" s="20"/>
      <c r="N7" s="20"/>
      <c r="O7" s="42" t="s">
        <v>14</v>
      </c>
      <c r="P7" s="100">
        <f>(3.08/P6)+(2*E8)</f>
        <v>834.17280246767166</v>
      </c>
      <c r="Q7" s="99"/>
      <c r="R7" s="40"/>
    </row>
    <row r="8" spans="1:18" x14ac:dyDescent="0.2">
      <c r="A8" s="10"/>
      <c r="B8" s="45" t="s">
        <v>1</v>
      </c>
      <c r="C8" s="12">
        <v>322</v>
      </c>
      <c r="D8" s="12"/>
      <c r="E8" s="35">
        <f>C7</f>
        <v>399</v>
      </c>
      <c r="F8" s="1"/>
      <c r="G8" s="1"/>
      <c r="H8" s="10"/>
      <c r="I8" s="28" t="s">
        <v>20</v>
      </c>
      <c r="J8" s="28"/>
      <c r="K8" s="30">
        <f>IF(P14&lt;60,P14,(IF(P15&lt;60,P15,(IF(P16&lt;24,P16,(IF(P17&lt;365.25,P17,(IF(P18&lt;1000000,P18,"More than a  MILLION Years!")))))))))</f>
        <v>7.1546122196467072</v>
      </c>
      <c r="L8" s="21" t="str">
        <f>IF(P14&lt;60,"seconds",(IF(P15&lt;60,"minutes",(IF(P16&lt;24,"hours",(IF(P17&lt;365.25,"days",(IF(P18&lt;1000000,"years","a Million years!")))))))))</f>
        <v>hours</v>
      </c>
      <c r="M8" s="20"/>
      <c r="N8" s="20"/>
      <c r="O8" s="42" t="s">
        <v>15</v>
      </c>
      <c r="P8" s="100">
        <f>SQRT((P7^2)-4*(E8^2))</f>
        <v>242.98202480177252</v>
      </c>
      <c r="Q8" s="99"/>
      <c r="R8" s="40"/>
    </row>
    <row r="9" spans="1:18" x14ac:dyDescent="0.2">
      <c r="A9" s="10"/>
      <c r="B9" s="3"/>
      <c r="C9" s="1"/>
      <c r="D9" s="1"/>
      <c r="E9" s="1"/>
      <c r="F9" s="1"/>
      <c r="G9" s="1"/>
      <c r="H9" s="10"/>
      <c r="I9" s="16"/>
      <c r="J9" s="16"/>
      <c r="K9" s="16" t="str">
        <f>IF(P18&gt;1000000,"Please try again!","")</f>
        <v/>
      </c>
      <c r="L9" s="16"/>
      <c r="M9" s="20"/>
      <c r="N9" s="20"/>
      <c r="O9" s="42" t="s">
        <v>16</v>
      </c>
      <c r="P9" s="100">
        <f>(P7-P8)/2</f>
        <v>295.59538883294954</v>
      </c>
      <c r="Q9" s="99"/>
      <c r="R9" s="40"/>
    </row>
    <row r="10" spans="1:18" x14ac:dyDescent="0.2">
      <c r="A10" s="10"/>
      <c r="B10" s="1"/>
      <c r="C10" s="4">
        <v>150</v>
      </c>
      <c r="D10" s="1"/>
      <c r="E10" s="1"/>
      <c r="F10" s="1"/>
      <c r="G10" s="1"/>
      <c r="H10" s="10"/>
      <c r="I10" s="16"/>
      <c r="J10" s="16"/>
      <c r="K10" s="16"/>
      <c r="L10" s="16"/>
      <c r="M10" s="20"/>
      <c r="N10" s="20"/>
      <c r="O10" s="42" t="s">
        <v>17</v>
      </c>
      <c r="P10" s="100">
        <f>100*(P9/E8)</f>
        <v>74.084057351616423</v>
      </c>
      <c r="Q10" s="99"/>
      <c r="R10" s="40"/>
    </row>
    <row r="11" spans="1:18" x14ac:dyDescent="0.2">
      <c r="A11" s="10"/>
      <c r="B11" s="45" t="s">
        <v>2</v>
      </c>
      <c r="C11" s="46">
        <v>2</v>
      </c>
      <c r="D11" s="47"/>
      <c r="E11" s="35" t="str">
        <f>IF(C11=0,"None",(IF(C11=1,"Iron",(IF(C11=2,"Tungsten","Platnium")))))</f>
        <v>Tungsten</v>
      </c>
      <c r="F11" s="1"/>
      <c r="G11" s="1"/>
      <c r="H11" s="10"/>
      <c r="I11" s="28" t="s">
        <v>44</v>
      </c>
      <c r="J11" s="33"/>
      <c r="K11" s="21">
        <f>E36-0.5</f>
        <v>23.5</v>
      </c>
      <c r="L11" s="21" t="s">
        <v>45</v>
      </c>
      <c r="M11" s="20"/>
      <c r="N11" s="20"/>
      <c r="O11" s="41"/>
      <c r="P11" s="99"/>
      <c r="Q11" s="99"/>
      <c r="R11" s="40"/>
    </row>
    <row r="12" spans="1:18" x14ac:dyDescent="0.2">
      <c r="A12" s="10"/>
      <c r="B12" s="1"/>
      <c r="C12" s="1" t="s">
        <v>6</v>
      </c>
      <c r="D12" s="3" t="s">
        <v>11</v>
      </c>
      <c r="E12" s="1"/>
      <c r="F12" s="1"/>
      <c r="G12" s="1"/>
      <c r="H12" s="10"/>
      <c r="I12" s="16"/>
      <c r="J12" s="16"/>
      <c r="K12" s="16"/>
      <c r="L12" s="16"/>
      <c r="M12" s="20"/>
      <c r="N12" s="20"/>
      <c r="O12" s="43"/>
      <c r="P12" s="100">
        <f>(-P4/(2*F5))</f>
        <v>-36.789297658862878</v>
      </c>
      <c r="Q12" s="100"/>
      <c r="R12" s="40"/>
    </row>
    <row r="13" spans="1:18" x14ac:dyDescent="0.2">
      <c r="A13" s="10"/>
      <c r="B13" s="1"/>
      <c r="C13" s="1"/>
      <c r="D13" s="5" t="s">
        <v>7</v>
      </c>
      <c r="E13" s="1"/>
      <c r="F13" s="1"/>
      <c r="G13" s="1"/>
      <c r="H13" s="10"/>
      <c r="I13" s="16"/>
      <c r="J13" s="16"/>
      <c r="K13" s="16"/>
      <c r="L13" s="16"/>
      <c r="M13" s="20"/>
      <c r="N13" s="20"/>
      <c r="O13" s="42" t="s">
        <v>29</v>
      </c>
      <c r="P13" s="100">
        <f>EXP(P12+30)</f>
        <v>1.125759163551914E-3</v>
      </c>
      <c r="Q13" s="100"/>
      <c r="R13" s="40"/>
    </row>
    <row r="14" spans="1:18" x14ac:dyDescent="0.2">
      <c r="A14" s="10"/>
      <c r="B14" s="1"/>
      <c r="C14" s="1"/>
      <c r="D14" s="5" t="s">
        <v>8</v>
      </c>
      <c r="E14" s="1" t="s">
        <v>6</v>
      </c>
      <c r="F14" s="1"/>
      <c r="G14" s="1"/>
      <c r="H14" s="10"/>
      <c r="I14" s="28" t="s">
        <v>50</v>
      </c>
      <c r="J14" s="28"/>
      <c r="K14" s="39">
        <f>K11/P16</f>
        <v>3.2845945075078329</v>
      </c>
      <c r="L14" s="21" t="s">
        <v>57</v>
      </c>
      <c r="M14" s="20"/>
      <c r="N14" s="20"/>
      <c r="O14" s="42" t="s">
        <v>30</v>
      </c>
      <c r="P14" s="100">
        <f>P9/P13</f>
        <v>262574.26846103417</v>
      </c>
      <c r="Q14" s="100" t="s">
        <v>31</v>
      </c>
      <c r="R14" s="40"/>
    </row>
    <row r="15" spans="1:18" x14ac:dyDescent="0.2">
      <c r="A15" s="10"/>
      <c r="B15" s="1" t="s">
        <v>6</v>
      </c>
      <c r="C15" s="1"/>
      <c r="D15" s="5" t="s">
        <v>9</v>
      </c>
      <c r="E15" s="1" t="s">
        <v>6</v>
      </c>
      <c r="F15" s="1"/>
      <c r="G15" s="1"/>
      <c r="H15" s="10"/>
      <c r="I15" s="16"/>
      <c r="J15" s="16"/>
      <c r="K15" s="16"/>
      <c r="L15" s="16"/>
      <c r="M15" s="20"/>
      <c r="N15" s="20"/>
      <c r="O15" s="43"/>
      <c r="P15" s="103">
        <f>P14/60</f>
        <v>4376.2378076839032</v>
      </c>
      <c r="Q15" s="100" t="s">
        <v>32</v>
      </c>
      <c r="R15" s="40"/>
    </row>
    <row r="16" spans="1:18" x14ac:dyDescent="0.2">
      <c r="A16" s="10"/>
      <c r="B16" s="1"/>
      <c r="C16" s="1"/>
      <c r="D16" s="5" t="s">
        <v>10</v>
      </c>
      <c r="E16" s="3" t="str">
        <f>IF(C11=3,"Much too expensive","")</f>
        <v/>
      </c>
      <c r="F16" s="3"/>
      <c r="G16" s="3"/>
      <c r="H16" s="10"/>
      <c r="I16" s="16"/>
      <c r="J16" s="16"/>
      <c r="K16" s="16"/>
      <c r="L16" s="16"/>
      <c r="M16" s="20"/>
      <c r="N16" s="20"/>
      <c r="O16" s="43"/>
      <c r="P16" s="100">
        <f>P14/36700</f>
        <v>7.1546122196467072</v>
      </c>
      <c r="Q16" s="100" t="s">
        <v>33</v>
      </c>
      <c r="R16" s="40"/>
    </row>
    <row r="17" spans="1:18" x14ac:dyDescent="0.2">
      <c r="A17" s="10"/>
      <c r="B17" s="1"/>
      <c r="C17" s="1"/>
      <c r="D17" s="1"/>
      <c r="E17" s="3" t="str">
        <f>IF(C11=3,"Please Try Something else!",""  )</f>
        <v/>
      </c>
      <c r="F17" s="3"/>
      <c r="G17" s="3"/>
      <c r="H17" s="10"/>
      <c r="I17" s="16"/>
      <c r="J17" s="16"/>
      <c r="K17" s="16"/>
      <c r="L17" s="16"/>
      <c r="M17" s="20"/>
      <c r="N17" s="20"/>
      <c r="O17" s="43"/>
      <c r="P17" s="100">
        <f>P14/(3600*24)</f>
        <v>3.0390540331138212</v>
      </c>
      <c r="Q17" s="100" t="s">
        <v>95</v>
      </c>
      <c r="R17" s="40"/>
    </row>
    <row r="18" spans="1:18" x14ac:dyDescent="0.2">
      <c r="A18" s="10"/>
      <c r="B18" s="1"/>
      <c r="C18" s="1"/>
      <c r="D18" s="1"/>
      <c r="E18" s="1"/>
      <c r="F18" s="1"/>
      <c r="G18" s="1"/>
      <c r="H18" s="10"/>
      <c r="I18" s="16"/>
      <c r="J18" s="16"/>
      <c r="K18" s="16"/>
      <c r="L18" s="16"/>
      <c r="M18" s="20"/>
      <c r="N18" s="20"/>
      <c r="O18" s="43"/>
      <c r="P18" s="100">
        <f>P14/(3600*24*365.25)</f>
        <v>8.3204764766976625E-3</v>
      </c>
      <c r="Q18" s="100" t="s">
        <v>35</v>
      </c>
      <c r="R18" s="40"/>
    </row>
    <row r="19" spans="1:18" ht="18" x14ac:dyDescent="0.25">
      <c r="A19" s="10"/>
      <c r="B19" s="27" t="s">
        <v>12</v>
      </c>
      <c r="C19" s="9"/>
      <c r="D19" s="9"/>
      <c r="E19" s="9"/>
      <c r="F19" s="9"/>
      <c r="G19" s="9"/>
      <c r="H19" s="10"/>
      <c r="I19" s="24" t="s">
        <v>25</v>
      </c>
      <c r="J19" s="14"/>
      <c r="K19" s="14"/>
      <c r="L19" s="14"/>
      <c r="M19" s="19"/>
      <c r="N19" s="19"/>
      <c r="O19" s="41"/>
      <c r="P19" s="99"/>
      <c r="Q19" s="99"/>
      <c r="R19" s="40"/>
    </row>
    <row r="20" spans="1:18" x14ac:dyDescent="0.2">
      <c r="A20" s="10"/>
      <c r="B20" s="9"/>
      <c r="C20" s="9"/>
      <c r="D20" s="9"/>
      <c r="E20" s="9"/>
      <c r="F20" s="9"/>
      <c r="G20" s="9"/>
      <c r="H20" s="10"/>
      <c r="I20" s="14"/>
      <c r="J20" s="14"/>
      <c r="K20" s="14"/>
      <c r="L20" s="14"/>
      <c r="M20" s="19"/>
      <c r="N20" s="19"/>
      <c r="O20" s="10"/>
      <c r="P20" s="10"/>
      <c r="Q20" s="10"/>
    </row>
    <row r="21" spans="1:18" x14ac:dyDescent="0.2">
      <c r="A21" s="10"/>
      <c r="B21" s="1"/>
      <c r="C21" s="1"/>
      <c r="D21" s="1"/>
      <c r="E21" s="2" t="s">
        <v>24</v>
      </c>
      <c r="F21" s="1"/>
      <c r="G21" s="1"/>
      <c r="H21" s="10"/>
      <c r="I21" s="16"/>
      <c r="J21" s="16"/>
      <c r="K21" s="16"/>
      <c r="L21" s="16"/>
      <c r="M21" s="20"/>
      <c r="N21" s="20"/>
      <c r="O21" s="10"/>
      <c r="P21" s="10"/>
      <c r="Q21" s="10"/>
    </row>
    <row r="22" spans="1:18" x14ac:dyDescent="0.2">
      <c r="B22" s="45" t="s">
        <v>37</v>
      </c>
      <c r="C22" s="12"/>
      <c r="D22" s="12"/>
      <c r="E22" s="26">
        <v>18</v>
      </c>
      <c r="F22" s="10" t="s">
        <v>27</v>
      </c>
      <c r="G22" s="1"/>
      <c r="H22" s="10"/>
      <c r="I22" s="28" t="s">
        <v>22</v>
      </c>
      <c r="J22" s="15"/>
      <c r="K22" s="15"/>
      <c r="L22" s="31">
        <v>317</v>
      </c>
      <c r="M22" s="11" t="s">
        <v>27</v>
      </c>
      <c r="N22" s="1"/>
      <c r="O22" s="10"/>
      <c r="P22" s="10"/>
      <c r="Q22" s="10"/>
    </row>
    <row r="23" spans="1:18" x14ac:dyDescent="0.2">
      <c r="B23" s="1"/>
      <c r="C23" s="1"/>
      <c r="D23" s="1"/>
      <c r="E23" s="25"/>
      <c r="F23" s="1"/>
      <c r="G23" s="1"/>
      <c r="H23" s="10"/>
      <c r="I23" s="28" t="s">
        <v>23</v>
      </c>
      <c r="J23" s="15"/>
      <c r="K23" s="15"/>
      <c r="L23" s="15"/>
      <c r="M23" s="15"/>
      <c r="N23" s="15"/>
      <c r="O23" s="10"/>
      <c r="P23" s="10"/>
      <c r="Q23" s="10"/>
    </row>
    <row r="24" spans="1:18" x14ac:dyDescent="0.2">
      <c r="B24" s="45" t="s">
        <v>0</v>
      </c>
      <c r="C24" s="1"/>
      <c r="D24" s="1"/>
      <c r="E24" s="31">
        <v>136</v>
      </c>
      <c r="F24" s="10" t="s">
        <v>27</v>
      </c>
      <c r="G24" s="1" t="s">
        <v>61</v>
      </c>
      <c r="H24" s="10"/>
      <c r="I24" s="15"/>
      <c r="J24" s="15"/>
      <c r="K24" s="15"/>
      <c r="L24" s="15"/>
      <c r="M24" s="15"/>
      <c r="N24" s="15"/>
      <c r="O24" s="10"/>
      <c r="P24" s="10"/>
      <c r="Q24" s="10"/>
    </row>
    <row r="25" spans="1:18" x14ac:dyDescent="0.2">
      <c r="B25" s="1" t="s">
        <v>6</v>
      </c>
      <c r="C25" s="1"/>
      <c r="D25" s="1"/>
      <c r="E25" s="25"/>
      <c r="F25" s="1"/>
      <c r="G25" s="1"/>
      <c r="H25" s="10"/>
      <c r="I25" s="28" t="s">
        <v>51</v>
      </c>
      <c r="J25" s="15"/>
      <c r="K25" s="15">
        <v>2867</v>
      </c>
      <c r="L25" s="11">
        <f>K25</f>
        <v>2867</v>
      </c>
      <c r="M25" s="11" t="s">
        <v>43</v>
      </c>
      <c r="N25" s="15"/>
      <c r="O25" s="10"/>
      <c r="P25" s="10"/>
      <c r="Q25" s="10"/>
    </row>
    <row r="26" spans="1:18" x14ac:dyDescent="0.2">
      <c r="B26" s="45" t="s">
        <v>1</v>
      </c>
      <c r="C26" s="12"/>
      <c r="D26" s="12"/>
      <c r="E26" s="34">
        <v>20</v>
      </c>
      <c r="F26" s="10" t="s">
        <v>27</v>
      </c>
      <c r="G26" s="1"/>
      <c r="H26" s="10"/>
      <c r="I26" s="15"/>
      <c r="J26" s="15"/>
      <c r="K26" s="15"/>
      <c r="L26" s="15"/>
      <c r="M26" s="15"/>
      <c r="N26" s="15"/>
      <c r="O26" s="10"/>
      <c r="P26" s="10"/>
      <c r="Q26" s="10"/>
    </row>
    <row r="27" spans="1:18" x14ac:dyDescent="0.2">
      <c r="B27" s="3" t="s">
        <v>6</v>
      </c>
      <c r="C27" s="1"/>
      <c r="D27" s="1"/>
      <c r="E27" s="25"/>
      <c r="F27" s="1"/>
      <c r="G27" s="1"/>
      <c r="H27" s="10"/>
      <c r="I27" s="28" t="s">
        <v>59</v>
      </c>
      <c r="J27" s="37"/>
      <c r="K27" s="28" t="s">
        <v>42</v>
      </c>
      <c r="L27" s="36">
        <f>MIN((L22*K14),(L25*L22))</f>
        <v>1041.2164588799831</v>
      </c>
      <c r="M27" s="11" t="s">
        <v>52</v>
      </c>
      <c r="N27" s="15"/>
      <c r="O27" s="10"/>
      <c r="P27" s="10"/>
      <c r="Q27" s="10"/>
    </row>
    <row r="28" spans="1:18" x14ac:dyDescent="0.2">
      <c r="B28" s="45" t="s">
        <v>38</v>
      </c>
      <c r="C28" s="12" t="s">
        <v>6</v>
      </c>
      <c r="D28" s="12">
        <v>12</v>
      </c>
      <c r="E28" s="34">
        <f>IF(C11=3,(1500*G28),(IF(C11=2,(10*G28),(IF(C11=1,(1.5*G28),0)))))</f>
        <v>12</v>
      </c>
      <c r="F28" s="10" t="s">
        <v>27</v>
      </c>
      <c r="G28" s="32">
        <f>D28/10</f>
        <v>1.2</v>
      </c>
      <c r="H28" s="10"/>
      <c r="I28" s="22" t="s">
        <v>6</v>
      </c>
      <c r="J28" s="15"/>
      <c r="K28" s="28" t="s">
        <v>60</v>
      </c>
      <c r="L28" s="39">
        <f>MIN(L25,K14)</f>
        <v>3.2845945075078329</v>
      </c>
      <c r="M28" s="21" t="s">
        <v>58</v>
      </c>
      <c r="N28" s="15"/>
      <c r="O28" s="10"/>
      <c r="P28" s="10"/>
      <c r="Q28" s="10"/>
    </row>
    <row r="29" spans="1:18" x14ac:dyDescent="0.2">
      <c r="B29" s="3" t="s">
        <v>6</v>
      </c>
      <c r="C29" s="1"/>
      <c r="D29" s="1"/>
      <c r="E29" s="25"/>
      <c r="F29" s="1"/>
      <c r="G29" s="1"/>
      <c r="H29" s="10"/>
      <c r="I29" s="22" t="s">
        <v>6</v>
      </c>
      <c r="J29" s="15"/>
      <c r="K29" s="15"/>
      <c r="L29" s="15"/>
      <c r="M29" s="15"/>
      <c r="N29" s="15"/>
      <c r="O29" s="10"/>
      <c r="P29" s="10"/>
      <c r="Q29" s="10"/>
    </row>
    <row r="30" spans="1:18" x14ac:dyDescent="0.2">
      <c r="B30" s="45" t="s">
        <v>36</v>
      </c>
      <c r="C30" s="12" t="s">
        <v>6</v>
      </c>
      <c r="D30" s="12">
        <v>21121</v>
      </c>
      <c r="E30" s="34">
        <f>D30*2</f>
        <v>42242</v>
      </c>
      <c r="F30" s="10" t="s">
        <v>46</v>
      </c>
      <c r="G30" s="1"/>
      <c r="H30" s="10"/>
      <c r="I30" s="15"/>
      <c r="J30" s="15"/>
      <c r="K30" s="15"/>
      <c r="L30" s="15"/>
      <c r="M30" s="15"/>
      <c r="N30" s="15"/>
      <c r="O30" s="10"/>
      <c r="P30" s="10"/>
      <c r="Q30" s="10"/>
    </row>
    <row r="31" spans="1:18" x14ac:dyDescent="0.2">
      <c r="B31" s="3" t="s">
        <v>6</v>
      </c>
      <c r="C31" s="1"/>
      <c r="D31" s="1"/>
      <c r="E31" s="25"/>
      <c r="F31" s="1"/>
      <c r="G31" s="1"/>
      <c r="H31" s="10"/>
      <c r="I31" s="28" t="s">
        <v>56</v>
      </c>
      <c r="J31" s="28"/>
      <c r="K31" s="37"/>
      <c r="L31" s="31">
        <f>K14*(SUM(E22,E24,E26,E28,))</f>
        <v>610.93457839645691</v>
      </c>
      <c r="M31" s="10" t="s">
        <v>46</v>
      </c>
      <c r="N31" s="15"/>
      <c r="O31" s="10"/>
      <c r="P31" s="10"/>
      <c r="Q31" s="10"/>
    </row>
    <row r="32" spans="1:18" x14ac:dyDescent="0.2">
      <c r="B32" s="45" t="s">
        <v>39</v>
      </c>
      <c r="C32" s="12" t="s">
        <v>6</v>
      </c>
      <c r="D32" s="12"/>
      <c r="E32" s="34">
        <v>25</v>
      </c>
      <c r="F32" s="10" t="s">
        <v>47</v>
      </c>
      <c r="G32" s="44">
        <f>(IF(E36&gt;16,24,(IF(E36&gt;8,16,8))))*15</f>
        <v>360</v>
      </c>
      <c r="H32" s="10"/>
      <c r="I32" s="22" t="s">
        <v>6</v>
      </c>
      <c r="J32" s="15"/>
      <c r="K32" s="15"/>
      <c r="L32" s="26">
        <f>SUM(E22,E24,E26,E28,)</f>
        <v>186</v>
      </c>
      <c r="M32" s="10" t="s">
        <v>27</v>
      </c>
      <c r="N32" s="15"/>
      <c r="O32" s="10"/>
      <c r="P32" s="10"/>
      <c r="Q32" s="10"/>
    </row>
    <row r="33" spans="1:17" x14ac:dyDescent="0.2">
      <c r="B33" s="3" t="s">
        <v>6</v>
      </c>
      <c r="C33" s="1"/>
      <c r="D33" s="1"/>
      <c r="E33" s="25"/>
      <c r="F33" s="1"/>
      <c r="G33" s="1"/>
      <c r="H33" s="10"/>
      <c r="I33" s="15"/>
      <c r="J33" s="15"/>
      <c r="K33" s="15"/>
      <c r="L33" s="15"/>
      <c r="M33" s="15"/>
      <c r="N33" s="15"/>
      <c r="O33" s="10"/>
      <c r="P33" s="10"/>
      <c r="Q33" s="10"/>
    </row>
    <row r="34" spans="1:17" x14ac:dyDescent="0.2">
      <c r="B34" s="45" t="s">
        <v>40</v>
      </c>
      <c r="C34" s="12" t="s">
        <v>6</v>
      </c>
      <c r="D34" s="12">
        <v>92</v>
      </c>
      <c r="E34" s="34">
        <f>D34/4</f>
        <v>23</v>
      </c>
      <c r="F34" s="10" t="s">
        <v>27</v>
      </c>
      <c r="G34" s="1"/>
      <c r="H34" s="10"/>
      <c r="I34" s="28" t="s">
        <v>55</v>
      </c>
      <c r="J34" s="28" t="s">
        <v>6</v>
      </c>
      <c r="K34" s="37"/>
      <c r="L34" s="31">
        <f>MAX(0,((K14-L25)*E34))</f>
        <v>0</v>
      </c>
      <c r="M34" s="10" t="s">
        <v>46</v>
      </c>
      <c r="N34" s="15"/>
      <c r="O34" s="10"/>
      <c r="P34" s="10"/>
      <c r="Q34" s="10"/>
    </row>
    <row r="35" spans="1:17" x14ac:dyDescent="0.2">
      <c r="B35" s="1" t="s">
        <v>6</v>
      </c>
      <c r="C35" s="1"/>
      <c r="D35" s="1"/>
      <c r="E35" s="1"/>
      <c r="F35" s="1"/>
      <c r="G35" s="1"/>
      <c r="H35" s="10"/>
      <c r="I35" s="15" t="s">
        <v>6</v>
      </c>
      <c r="J35" s="15"/>
      <c r="K35" s="15"/>
      <c r="L35" s="15"/>
      <c r="M35" s="15"/>
      <c r="N35" s="15"/>
      <c r="O35" s="10"/>
      <c r="P35" s="10"/>
      <c r="Q35" s="10"/>
    </row>
    <row r="36" spans="1:17" x14ac:dyDescent="0.2">
      <c r="B36" s="45" t="s">
        <v>48</v>
      </c>
      <c r="C36" s="1"/>
      <c r="D36" s="1">
        <v>7</v>
      </c>
      <c r="E36" s="10">
        <v>24</v>
      </c>
      <c r="F36" s="10" t="s">
        <v>49</v>
      </c>
      <c r="G36" s="1"/>
      <c r="H36" s="10"/>
      <c r="I36" s="15"/>
      <c r="J36" s="15"/>
      <c r="K36" s="15"/>
      <c r="L36" s="15"/>
      <c r="M36" s="15"/>
      <c r="N36" s="15"/>
      <c r="O36" s="10"/>
      <c r="P36" s="10"/>
      <c r="Q36" s="10"/>
    </row>
    <row r="37" spans="1:17" x14ac:dyDescent="0.2">
      <c r="B37" s="1" t="s">
        <v>6</v>
      </c>
      <c r="C37" s="1"/>
      <c r="D37" s="1"/>
      <c r="E37" s="1"/>
      <c r="F37" s="1"/>
      <c r="G37" s="1"/>
      <c r="H37" s="10"/>
      <c r="I37" s="28" t="s">
        <v>54</v>
      </c>
      <c r="J37" s="28"/>
      <c r="K37" s="37"/>
      <c r="L37" s="26">
        <f>E30+(G32*E32)</f>
        <v>51242</v>
      </c>
      <c r="M37" s="10" t="s">
        <v>46</v>
      </c>
      <c r="N37" s="15"/>
      <c r="O37" s="10"/>
      <c r="P37" s="10"/>
      <c r="Q37" s="10"/>
    </row>
    <row r="38" spans="1:17" x14ac:dyDescent="0.2">
      <c r="B38" s="1" t="s">
        <v>6</v>
      </c>
      <c r="C38" s="1"/>
      <c r="D38" s="1"/>
      <c r="E38" s="1"/>
      <c r="F38" s="1"/>
      <c r="G38" s="1"/>
      <c r="H38" s="10"/>
      <c r="I38" s="15"/>
      <c r="J38" s="15"/>
      <c r="K38" s="15"/>
      <c r="L38" s="15"/>
      <c r="M38" s="15"/>
      <c r="N38" s="15"/>
      <c r="O38" s="10"/>
      <c r="P38" s="10"/>
      <c r="Q38" s="10"/>
    </row>
    <row r="39" spans="1:17" x14ac:dyDescent="0.2">
      <c r="A39" s="41"/>
      <c r="B39" s="41"/>
      <c r="C39" s="41"/>
      <c r="D39" s="41"/>
      <c r="E39" s="41"/>
      <c r="F39" s="41"/>
      <c r="G39" s="41"/>
      <c r="H39" s="10"/>
      <c r="I39" s="28" t="s">
        <v>53</v>
      </c>
      <c r="J39" s="28"/>
      <c r="K39" s="37"/>
      <c r="L39" s="26">
        <f>L31+L34+L37</f>
        <v>51852.93457839646</v>
      </c>
      <c r="M39" s="10" t="s">
        <v>46</v>
      </c>
      <c r="N39" s="15"/>
      <c r="O39" s="10"/>
      <c r="P39" s="10"/>
      <c r="Q39" s="10"/>
    </row>
    <row r="40" spans="1:17" x14ac:dyDescent="0.2">
      <c r="A40" s="41"/>
      <c r="B40" s="41"/>
      <c r="C40" s="41"/>
      <c r="D40" s="41"/>
      <c r="E40" s="41"/>
      <c r="F40" s="41"/>
      <c r="G40" s="41"/>
      <c r="H40" s="10"/>
      <c r="I40" s="15"/>
      <c r="J40" s="15"/>
      <c r="K40" s="15"/>
      <c r="L40" s="15"/>
      <c r="M40" s="15"/>
      <c r="N40" s="15"/>
      <c r="O40" s="10"/>
      <c r="P40" s="10"/>
      <c r="Q40" s="10"/>
    </row>
    <row r="41" spans="1:17" x14ac:dyDescent="0.2">
      <c r="A41" s="41"/>
      <c r="B41" s="41"/>
      <c r="C41" s="41"/>
      <c r="D41" s="41"/>
      <c r="E41" s="41"/>
      <c r="F41" s="41"/>
      <c r="G41" s="41"/>
      <c r="H41" s="10"/>
      <c r="I41" s="28" t="s">
        <v>41</v>
      </c>
      <c r="J41" s="28"/>
      <c r="K41" s="37"/>
      <c r="L41" s="38">
        <f>L27-L39</f>
        <v>-50811.718119516474</v>
      </c>
      <c r="M41" s="10" t="s">
        <v>46</v>
      </c>
      <c r="N41" s="15"/>
      <c r="O41" s="10"/>
      <c r="P41" s="10"/>
      <c r="Q41" s="10"/>
    </row>
    <row r="42" spans="1:17" x14ac:dyDescent="0.2">
      <c r="A42" s="41"/>
      <c r="B42" s="41"/>
      <c r="C42" s="41"/>
      <c r="D42" s="41"/>
      <c r="E42" s="41"/>
      <c r="F42" s="41"/>
      <c r="G42" s="41"/>
      <c r="H42" s="10"/>
      <c r="I42" s="15"/>
      <c r="J42" s="15"/>
      <c r="K42" s="15"/>
      <c r="L42" s="15"/>
      <c r="M42" s="15"/>
      <c r="N42" s="15"/>
      <c r="O42" s="10"/>
      <c r="P42" s="10"/>
      <c r="Q42" s="10"/>
    </row>
    <row r="43" spans="1:17" x14ac:dyDescent="0.2">
      <c r="A43" s="10"/>
      <c r="B43" s="10"/>
      <c r="C43" s="41">
        <v>0</v>
      </c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</row>
    <row r="44" spans="1:17" x14ac:dyDescent="0.2">
      <c r="H44" s="10"/>
    </row>
  </sheetData>
  <phoneticPr fontId="4" type="noConversion"/>
  <pageMargins left="0.75" right="0.75" top="1" bottom="1" header="0.5" footer="0.5"/>
  <pageSetup scale="65" orientation="portrait" horizontalDpi="300" verticalDpi="300" r:id="rId1"/>
  <headerFooter alignWithMargins="0">
    <oddHeader>&amp;LUser&amp;CPage &amp;P&amp;R&amp;D</oddHead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Scroll Bar 1">
              <controlPr defaultSize="0" autoPict="0">
                <anchor moveWithCells="1">
                  <from>
                    <xdr:col>2</xdr:col>
                    <xdr:colOff>95250</xdr:colOff>
                    <xdr:row>11</xdr:row>
                    <xdr:rowOff>9525</xdr:rowOff>
                  </from>
                  <to>
                    <xdr:col>2</xdr:col>
                    <xdr:colOff>276225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Scroll Bar 2">
              <controlPr defaultSize="0" autoPict="0">
                <anchor moveWithCells="1">
                  <from>
                    <xdr:col>2</xdr:col>
                    <xdr:colOff>0</xdr:colOff>
                    <xdr:row>4</xdr:row>
                    <xdr:rowOff>9525</xdr:rowOff>
                  </from>
                  <to>
                    <xdr:col>4</xdr:col>
                    <xdr:colOff>0</xdr:colOff>
                    <xdr:row>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Scroll Bar 3">
              <controlPr defaultSize="0" autoPict="0">
                <anchor moveWithCells="1">
                  <from>
                    <xdr:col>2</xdr:col>
                    <xdr:colOff>19050</xdr:colOff>
                    <xdr:row>7</xdr:row>
                    <xdr:rowOff>0</xdr:rowOff>
                  </from>
                  <to>
                    <xdr:col>4</xdr:col>
                    <xdr:colOff>19050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7" name="Scroll Bar 5">
              <controlPr defaultSize="0" autoPict="0">
                <anchor moveWithCells="1">
                  <from>
                    <xdr:col>9</xdr:col>
                    <xdr:colOff>19050</xdr:colOff>
                    <xdr:row>21</xdr:row>
                    <xdr:rowOff>0</xdr:rowOff>
                  </from>
                  <to>
                    <xdr:col>10</xdr:col>
                    <xdr:colOff>809625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8" name="Scroll Bar 6">
              <controlPr defaultSize="0" autoPict="0">
                <anchor moveWithCells="1">
                  <from>
                    <xdr:col>1</xdr:col>
                    <xdr:colOff>876300</xdr:colOff>
                    <xdr:row>21</xdr:row>
                    <xdr:rowOff>0</xdr:rowOff>
                  </from>
                  <to>
                    <xdr:col>3</xdr:col>
                    <xdr:colOff>838200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9" name="Scroll Bar 7">
              <controlPr defaultSize="0" autoPict="0">
                <anchor moveWithCells="1">
                  <from>
                    <xdr:col>8</xdr:col>
                    <xdr:colOff>857250</xdr:colOff>
                    <xdr:row>23</xdr:row>
                    <xdr:rowOff>152400</xdr:rowOff>
                  </from>
                  <to>
                    <xdr:col>10</xdr:col>
                    <xdr:colOff>809625</xdr:colOff>
                    <xdr:row>24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0" name="Scroll Bar 8">
              <controlPr defaultSize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1" name="Scroll Bar 9">
              <controlPr defaultSize="0" autoPict="0">
                <anchor moveWithCells="1">
                  <from>
                    <xdr:col>2</xdr:col>
                    <xdr:colOff>0</xdr:colOff>
                    <xdr:row>25</xdr:row>
                    <xdr:rowOff>0</xdr:rowOff>
                  </from>
                  <to>
                    <xdr:col>4</xdr:col>
                    <xdr:colOff>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2" name="Scroll Bar 10">
              <controlPr defaultSize="0" autoPict="0">
                <anchor moveWithCells="1">
                  <from>
                    <xdr:col>2</xdr:col>
                    <xdr:colOff>0</xdr:colOff>
                    <xdr:row>27</xdr:row>
                    <xdr:rowOff>0</xdr:rowOff>
                  </from>
                  <to>
                    <xdr:col>4</xdr:col>
                    <xdr:colOff>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3" name="Scroll Bar 11">
              <controlPr defaultSize="0" autoPict="0">
                <anchor moveWithCells="1">
                  <from>
                    <xdr:col>2</xdr:col>
                    <xdr:colOff>0</xdr:colOff>
                    <xdr:row>29</xdr:row>
                    <xdr:rowOff>0</xdr:rowOff>
                  </from>
                  <to>
                    <xdr:col>4</xdr:col>
                    <xdr:colOff>0</xdr:colOff>
                    <xdr:row>30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0" r:id="rId14" name="Scroll Bar 12">
              <controlPr defaultSize="0" autoPict="0">
                <anchor moveWithCells="1">
                  <from>
                    <xdr:col>2</xdr:col>
                    <xdr:colOff>0</xdr:colOff>
                    <xdr:row>31</xdr:row>
                    <xdr:rowOff>0</xdr:rowOff>
                  </from>
                  <to>
                    <xdr:col>4</xdr:col>
                    <xdr:colOff>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1" r:id="rId15" name="Scroll Bar 13">
              <controlPr defaultSize="0" autoPict="0">
                <anchor moveWithCells="1">
                  <from>
                    <xdr:col>1</xdr:col>
                    <xdr:colOff>876300</xdr:colOff>
                    <xdr:row>33</xdr:row>
                    <xdr:rowOff>0</xdr:rowOff>
                  </from>
                  <to>
                    <xdr:col>3</xdr:col>
                    <xdr:colOff>838200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6" name="Scroll Bar 14">
              <controlPr defaultSize="0" autoPict="0">
                <anchor moveWithCells="1">
                  <from>
                    <xdr:col>1</xdr:col>
                    <xdr:colOff>847725</xdr:colOff>
                    <xdr:row>35</xdr:row>
                    <xdr:rowOff>19050</xdr:rowOff>
                  </from>
                  <to>
                    <xdr:col>3</xdr:col>
                    <xdr:colOff>809625</xdr:colOff>
                    <xdr:row>36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Fixed Costs</vt:lpstr>
      <vt:lpstr>Variable costs</vt:lpstr>
      <vt:lpstr>Sheet2</vt:lpstr>
      <vt:lpstr>Sheet3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Clare Van Maarseveen</cp:lastModifiedBy>
  <dcterms:created xsi:type="dcterms:W3CDTF">2004-07-31T18:41:28Z</dcterms:created>
  <dcterms:modified xsi:type="dcterms:W3CDTF">2015-10-05T19:20:44Z</dcterms:modified>
</cp:coreProperties>
</file>